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filterPrivacy="1" defaultThemeVersion="124226"/>
  <xr:revisionPtr revIDLastSave="0" documentId="8_{38661AE1-5E90-4C5C-B0D5-778FBAF60A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январь СО" sheetId="42" r:id="rId1"/>
    <sheet name="февраль СО" sheetId="40" r:id="rId2"/>
    <sheet name="март СО" sheetId="38" r:id="rId3"/>
    <sheet name="апрель СО" sheetId="36" r:id="rId4"/>
    <sheet name="май СО" sheetId="34" r:id="rId5"/>
    <sheet name="июнь СО" sheetId="32" r:id="rId6"/>
    <sheet name="июль СО" sheetId="30" r:id="rId7"/>
    <sheet name="август СО" sheetId="28" r:id="rId8"/>
    <sheet name="сентябрь СО" sheetId="26" r:id="rId9"/>
    <sheet name="октябрь СО" sheetId="25" r:id="rId10"/>
    <sheet name="ноябрь СО" sheetId="23" r:id="rId11"/>
    <sheet name="декабрь СО" sheetId="20" r:id="rId12"/>
    <sheet name="п45д" sheetId="1" r:id="rId13"/>
    <sheet name="январь ГП" sheetId="43" r:id="rId14"/>
    <sheet name="февраль ГП" sheetId="41" r:id="rId15"/>
    <sheet name="март ГП" sheetId="39" r:id="rId16"/>
    <sheet name="апрель ГП" sheetId="37" r:id="rId17"/>
    <sheet name="май ГП" sheetId="35" r:id="rId18"/>
    <sheet name="июнь ГП" sheetId="33" r:id="rId19"/>
    <sheet name="июль ГП" sheetId="31" r:id="rId20"/>
    <sheet name="август ГП" sheetId="29" r:id="rId21"/>
    <sheet name="сентябрь ГП" sheetId="27" r:id="rId22"/>
    <sheet name="октябрь ГП" sheetId="24" r:id="rId23"/>
    <sheet name="ноябрь ГП" sheetId="22" r:id="rId24"/>
    <sheet name="декабрь ГП" sheetId="21" r:id="rId25"/>
    <sheet name="2020" sheetId="6" r:id="rId26"/>
  </sheets>
  <externalReferences>
    <externalReference r:id="rId27"/>
    <externalReference r:id="rId28"/>
  </externalReferences>
  <definedNames>
    <definedName name="Excel_BuiltIn_Print_Area_1" localSheetId="7">#REF!</definedName>
    <definedName name="Excel_BuiltIn_Print_Area_1" localSheetId="3">#REF!</definedName>
    <definedName name="Excel_BuiltIn_Print_Area_1" localSheetId="11">#REF!</definedName>
    <definedName name="Excel_BuiltIn_Print_Area_1" localSheetId="6">#REF!</definedName>
    <definedName name="Excel_BuiltIn_Print_Area_1" localSheetId="5">#REF!</definedName>
    <definedName name="Excel_BuiltIn_Print_Area_1" localSheetId="4">#REF!</definedName>
    <definedName name="Excel_BuiltIn_Print_Area_1" localSheetId="2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Excel_BuiltIn_Print_Area_3" localSheetId="7">#REF!</definedName>
    <definedName name="Excel_BuiltIn_Print_Area_3" localSheetId="3">#REF!</definedName>
    <definedName name="Excel_BuiltIn_Print_Area_3" localSheetId="11">#REF!</definedName>
    <definedName name="Excel_BuiltIn_Print_Area_3" localSheetId="6">#REF!</definedName>
    <definedName name="Excel_BuiltIn_Print_Area_3" localSheetId="5">#REF!</definedName>
    <definedName name="Excel_BuiltIn_Print_Area_3" localSheetId="4">#REF!</definedName>
    <definedName name="Excel_BuiltIn_Print_Area_3" localSheetId="2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">#REF!</definedName>
    <definedName name="Excel_BuiltIn_Print_Area_3" localSheetId="0">#REF!</definedName>
    <definedName name="Excel_BuiltIn_Print_Area_3">#REF!</definedName>
    <definedName name="Excel_BuiltIn_Print_Area_5" localSheetId="7">#REF!</definedName>
    <definedName name="Excel_BuiltIn_Print_Area_5" localSheetId="3">#REF!</definedName>
    <definedName name="Excel_BuiltIn_Print_Area_5" localSheetId="11">#REF!</definedName>
    <definedName name="Excel_BuiltIn_Print_Area_5" localSheetId="6">#REF!</definedName>
    <definedName name="Excel_BuiltIn_Print_Area_5" localSheetId="5">#REF!</definedName>
    <definedName name="Excel_BuiltIn_Print_Area_5" localSheetId="4">#REF!</definedName>
    <definedName name="Excel_BuiltIn_Print_Area_5" localSheetId="2">#REF!</definedName>
    <definedName name="Excel_BuiltIn_Print_Area_5" localSheetId="10">#REF!</definedName>
    <definedName name="Excel_BuiltIn_Print_Area_5" localSheetId="9">#REF!</definedName>
    <definedName name="Excel_BuiltIn_Print_Area_5" localSheetId="8">#REF!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" localSheetId="7">#REF!</definedName>
    <definedName name="Excel_BuiltIn_Print_Area_5_1" localSheetId="3">#REF!</definedName>
    <definedName name="Excel_BuiltIn_Print_Area_5_1" localSheetId="11">#REF!</definedName>
    <definedName name="Excel_BuiltIn_Print_Area_5_1" localSheetId="6">#REF!</definedName>
    <definedName name="Excel_BuiltIn_Print_Area_5_1" localSheetId="5">#REF!</definedName>
    <definedName name="Excel_BuiltIn_Print_Area_5_1" localSheetId="4">#REF!</definedName>
    <definedName name="Excel_BuiltIn_Print_Area_5_1" localSheetId="2">#REF!</definedName>
    <definedName name="Excel_BuiltIn_Print_Area_5_1" localSheetId="10">#REF!</definedName>
    <definedName name="Excel_BuiltIn_Print_Area_5_1" localSheetId="9">#REF!</definedName>
    <definedName name="Excel_BuiltIn_Print_Area_5_1" localSheetId="8">#REF!</definedName>
    <definedName name="Excel_BuiltIn_Print_Area_5_1" localSheetId="1">#REF!</definedName>
    <definedName name="Excel_BuiltIn_Print_Area_5_1" localSheetId="0">#REF!</definedName>
    <definedName name="Excel_BuiltIn_Print_Area_5_1">#REF!</definedName>
    <definedName name="Excel_BuiltIn_Print_Titles_1" localSheetId="7">#REF!</definedName>
    <definedName name="Excel_BuiltIn_Print_Titles_1" localSheetId="3">#REF!</definedName>
    <definedName name="Excel_BuiltIn_Print_Titles_1" localSheetId="11">#REF!</definedName>
    <definedName name="Excel_BuiltIn_Print_Titles_1" localSheetId="6">#REF!</definedName>
    <definedName name="Excel_BuiltIn_Print_Titles_1" localSheetId="5">#REF!</definedName>
    <definedName name="Excel_BuiltIn_Print_Titles_1" localSheetId="4">#REF!</definedName>
    <definedName name="Excel_BuiltIn_Print_Titles_1" localSheetId="2">#REF!</definedName>
    <definedName name="Excel_BuiltIn_Print_Titles_1" localSheetId="10">#REF!</definedName>
    <definedName name="Excel_BuiltIn_Print_Titles_1" localSheetId="9">#REF!</definedName>
    <definedName name="Excel_BuiltIn_Print_Titles_1" localSheetId="8">#REF!</definedName>
    <definedName name="Excel_BuiltIn_Print_Titles_1" localSheetId="1">#REF!</definedName>
    <definedName name="Excel_BuiltIn_Print_Titles_1" localSheetId="0">#REF!</definedName>
    <definedName name="Excel_BuiltIn_Print_Titles_1">#REF!</definedName>
    <definedName name="Excel_BuiltIn_Print_Titles_2" localSheetId="7">#REF!</definedName>
    <definedName name="Excel_BuiltIn_Print_Titles_2" localSheetId="3">#REF!</definedName>
    <definedName name="Excel_BuiltIn_Print_Titles_2" localSheetId="11">#REF!</definedName>
    <definedName name="Excel_BuiltIn_Print_Titles_2" localSheetId="6">#REF!</definedName>
    <definedName name="Excel_BuiltIn_Print_Titles_2" localSheetId="5">#REF!</definedName>
    <definedName name="Excel_BuiltIn_Print_Titles_2" localSheetId="4">#REF!</definedName>
    <definedName name="Excel_BuiltIn_Print_Titles_2" localSheetId="2">#REF!</definedName>
    <definedName name="Excel_BuiltIn_Print_Titles_2" localSheetId="10">#REF!</definedName>
    <definedName name="Excel_BuiltIn_Print_Titles_2" localSheetId="9">#REF!</definedName>
    <definedName name="Excel_BuiltIn_Print_Titles_2" localSheetId="8">#REF!</definedName>
    <definedName name="Excel_BuiltIn_Print_Titles_2" localSheetId="1">#REF!</definedName>
    <definedName name="Excel_BuiltIn_Print_Titles_2" localSheetId="0">#REF!</definedName>
    <definedName name="Excel_BuiltIn_Print_Titles_2">#REF!</definedName>
    <definedName name="Excel_BuiltIn_Print_Titles_3" localSheetId="7">#REF!</definedName>
    <definedName name="Excel_BuiltIn_Print_Titles_3" localSheetId="3">#REF!</definedName>
    <definedName name="Excel_BuiltIn_Print_Titles_3" localSheetId="11">#REF!</definedName>
    <definedName name="Excel_BuiltIn_Print_Titles_3" localSheetId="6">#REF!</definedName>
    <definedName name="Excel_BuiltIn_Print_Titles_3" localSheetId="5">#REF!</definedName>
    <definedName name="Excel_BuiltIn_Print_Titles_3" localSheetId="4">#REF!</definedName>
    <definedName name="Excel_BuiltIn_Print_Titles_3" localSheetId="2">#REF!</definedName>
    <definedName name="Excel_BuiltIn_Print_Titles_3" localSheetId="10">#REF!</definedName>
    <definedName name="Excel_BuiltIn_Print_Titles_3" localSheetId="9">#REF!</definedName>
    <definedName name="Excel_BuiltIn_Print_Titles_3" localSheetId="8">#REF!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Excel_BuiltIn_Print_Titles_4" localSheetId="7">#REF!</definedName>
    <definedName name="Excel_BuiltIn_Print_Titles_4" localSheetId="3">#REF!</definedName>
    <definedName name="Excel_BuiltIn_Print_Titles_4" localSheetId="11">#REF!</definedName>
    <definedName name="Excel_BuiltIn_Print_Titles_4" localSheetId="6">#REF!</definedName>
    <definedName name="Excel_BuiltIn_Print_Titles_4" localSheetId="5">#REF!</definedName>
    <definedName name="Excel_BuiltIn_Print_Titles_4" localSheetId="4">#REF!</definedName>
    <definedName name="Excel_BuiltIn_Print_Titles_4" localSheetId="2">#REF!</definedName>
    <definedName name="Excel_BuiltIn_Print_Titles_4" localSheetId="10">#REF!</definedName>
    <definedName name="Excel_BuiltIn_Print_Titles_4" localSheetId="9">#REF!</definedName>
    <definedName name="Excel_BuiltIn_Print_Titles_4" localSheetId="8">#REF!</definedName>
    <definedName name="Excel_BuiltIn_Print_Titles_4" localSheetId="1">#REF!</definedName>
    <definedName name="Excel_BuiltIn_Print_Titles_4" localSheetId="0">#REF!</definedName>
    <definedName name="Excel_BuiltIn_Print_Titles_4">#REF!</definedName>
    <definedName name="Excel_BuiltIn_Print_Titles_5" localSheetId="7">#REF!</definedName>
    <definedName name="Excel_BuiltIn_Print_Titles_5" localSheetId="3">#REF!</definedName>
    <definedName name="Excel_BuiltIn_Print_Titles_5" localSheetId="11">#REF!</definedName>
    <definedName name="Excel_BuiltIn_Print_Titles_5" localSheetId="6">#REF!</definedName>
    <definedName name="Excel_BuiltIn_Print_Titles_5" localSheetId="5">#REF!</definedName>
    <definedName name="Excel_BuiltIn_Print_Titles_5" localSheetId="4">#REF!</definedName>
    <definedName name="Excel_BuiltIn_Print_Titles_5" localSheetId="2">#REF!</definedName>
    <definedName name="Excel_BuiltIn_Print_Titles_5" localSheetId="10">#REF!</definedName>
    <definedName name="Excel_BuiltIn_Print_Titles_5" localSheetId="9">#REF!</definedName>
    <definedName name="Excel_BuiltIn_Print_Titles_5" localSheetId="8">#REF!</definedName>
    <definedName name="Excel_BuiltIn_Print_Titles_5" localSheetId="1">#REF!</definedName>
    <definedName name="Excel_BuiltIn_Print_Titles_5" localSheetId="0">#REF!</definedName>
    <definedName name="Excel_BuiltIn_Print_Titles_5">#REF!</definedName>
    <definedName name="Excel_BuiltIn_Print_Titles_5_1" localSheetId="7">#REF!</definedName>
    <definedName name="Excel_BuiltIn_Print_Titles_5_1" localSheetId="3">#REF!</definedName>
    <definedName name="Excel_BuiltIn_Print_Titles_5_1" localSheetId="11">#REF!</definedName>
    <definedName name="Excel_BuiltIn_Print_Titles_5_1" localSheetId="6">#REF!</definedName>
    <definedName name="Excel_BuiltIn_Print_Titles_5_1" localSheetId="5">#REF!</definedName>
    <definedName name="Excel_BuiltIn_Print_Titles_5_1" localSheetId="4">#REF!</definedName>
    <definedName name="Excel_BuiltIn_Print_Titles_5_1" localSheetId="2">#REF!</definedName>
    <definedName name="Excel_BuiltIn_Print_Titles_5_1" localSheetId="10">#REF!</definedName>
    <definedName name="Excel_BuiltIn_Print_Titles_5_1" localSheetId="9">#REF!</definedName>
    <definedName name="Excel_BuiltIn_Print_Titles_5_1" localSheetId="8">#REF!</definedName>
    <definedName name="Excel_BuiltIn_Print_Titles_5_1" localSheetId="1">#REF!</definedName>
    <definedName name="Excel_BuiltIn_Print_Titles_5_1" localSheetId="0">#REF!</definedName>
    <definedName name="Excel_BuiltIn_Print_Titles_5_1">#REF!</definedName>
    <definedName name="апрель" localSheetId="7">#REF!</definedName>
    <definedName name="апрель" localSheetId="3">#REF!</definedName>
    <definedName name="апрель" localSheetId="11">#REF!</definedName>
    <definedName name="апрель" localSheetId="6">#REF!</definedName>
    <definedName name="апрель" localSheetId="5">#REF!</definedName>
    <definedName name="апрель" localSheetId="4">#REF!</definedName>
    <definedName name="апрель" localSheetId="2">#REF!</definedName>
    <definedName name="апрель" localSheetId="10">#REF!</definedName>
    <definedName name="апрель" localSheetId="9">#REF!</definedName>
    <definedName name="апрель" localSheetId="8">#REF!</definedName>
    <definedName name="апрель" localSheetId="1">#REF!</definedName>
    <definedName name="апрель" localSheetId="0">#REF!</definedName>
    <definedName name="апрель">#REF!</definedName>
    <definedName name="_xlnm.Print_Titles" localSheetId="25">'2020'!#REF!</definedName>
    <definedName name="июль" localSheetId="7">#REF!</definedName>
    <definedName name="июль" localSheetId="3">#REF!</definedName>
    <definedName name="июль" localSheetId="11">#REF!</definedName>
    <definedName name="июль" localSheetId="6">#REF!</definedName>
    <definedName name="июль" localSheetId="5">#REF!</definedName>
    <definedName name="июль" localSheetId="4">#REF!</definedName>
    <definedName name="июль" localSheetId="2">#REF!</definedName>
    <definedName name="июль" localSheetId="10">#REF!</definedName>
    <definedName name="июль" localSheetId="9">#REF!</definedName>
    <definedName name="июль" localSheetId="8">#REF!</definedName>
    <definedName name="июль" localSheetId="1">#REF!</definedName>
    <definedName name="июль" localSheetId="0">#REF!</definedName>
    <definedName name="июль">#REF!</definedName>
    <definedName name="ло" localSheetId="7">#REF!</definedName>
    <definedName name="ло" localSheetId="3">#REF!</definedName>
    <definedName name="ло" localSheetId="11">#REF!</definedName>
    <definedName name="ло" localSheetId="6">#REF!</definedName>
    <definedName name="ло" localSheetId="5">#REF!</definedName>
    <definedName name="ло" localSheetId="4">#REF!</definedName>
    <definedName name="ло" localSheetId="2">#REF!</definedName>
    <definedName name="ло" localSheetId="10">#REF!</definedName>
    <definedName name="ло" localSheetId="9">#REF!</definedName>
    <definedName name="ло" localSheetId="8">#REF!</definedName>
    <definedName name="ло" localSheetId="1">#REF!</definedName>
    <definedName name="ло" localSheetId="0">#REF!</definedName>
    <definedName name="ло">#REF!</definedName>
    <definedName name="мин" localSheetId="7">#REF!</definedName>
    <definedName name="мин" localSheetId="3">#REF!</definedName>
    <definedName name="мин" localSheetId="11">#REF!</definedName>
    <definedName name="мин" localSheetId="6">#REF!</definedName>
    <definedName name="мин" localSheetId="5">#REF!</definedName>
    <definedName name="мин" localSheetId="4">#REF!</definedName>
    <definedName name="мин" localSheetId="2">#REF!</definedName>
    <definedName name="мин" localSheetId="10">#REF!</definedName>
    <definedName name="мин" localSheetId="9">#REF!</definedName>
    <definedName name="мин" localSheetId="8">#REF!</definedName>
    <definedName name="мин" localSheetId="1">#REF!</definedName>
    <definedName name="мин" localSheetId="0">#REF!</definedName>
    <definedName name="мин">#REF!</definedName>
    <definedName name="на" localSheetId="7">#REF!</definedName>
    <definedName name="на" localSheetId="3">#REF!</definedName>
    <definedName name="на" localSheetId="11">#REF!</definedName>
    <definedName name="на" localSheetId="6">#REF!</definedName>
    <definedName name="на" localSheetId="5">#REF!</definedName>
    <definedName name="на" localSheetId="4">#REF!</definedName>
    <definedName name="на" localSheetId="2">#REF!</definedName>
    <definedName name="на" localSheetId="10">#REF!</definedName>
    <definedName name="на" localSheetId="9">#REF!</definedName>
    <definedName name="на" localSheetId="8">#REF!</definedName>
    <definedName name="на" localSheetId="1">#REF!</definedName>
    <definedName name="на" localSheetId="0">#REF!</definedName>
    <definedName name="на">#REF!</definedName>
    <definedName name="_xlnm.Print_Area" localSheetId="25">'2020'!$A$3:$E$28</definedName>
    <definedName name="ти" localSheetId="7">#REF!</definedName>
    <definedName name="ти" localSheetId="3">#REF!</definedName>
    <definedName name="ти" localSheetId="11">#REF!</definedName>
    <definedName name="ти" localSheetId="6">#REF!</definedName>
    <definedName name="ти" localSheetId="5">#REF!</definedName>
    <definedName name="ти" localSheetId="4">#REF!</definedName>
    <definedName name="ти" localSheetId="2">#REF!</definedName>
    <definedName name="ти" localSheetId="10">#REF!</definedName>
    <definedName name="ти" localSheetId="9">#REF!</definedName>
    <definedName name="ти" localSheetId="8">#REF!</definedName>
    <definedName name="ти" localSheetId="1">#REF!</definedName>
    <definedName name="ти" localSheetId="0">#REF!</definedName>
    <definedName name="ти">#REF!</definedName>
    <definedName name="чраеоргь" localSheetId="7">#REF!</definedName>
    <definedName name="чраеоргь" localSheetId="3">#REF!</definedName>
    <definedName name="чраеоргь" localSheetId="11">#REF!</definedName>
    <definedName name="чраеоргь" localSheetId="6">#REF!</definedName>
    <definedName name="чраеоргь" localSheetId="5">#REF!</definedName>
    <definedName name="чраеоргь" localSheetId="4">#REF!</definedName>
    <definedName name="чраеоргь" localSheetId="2">#REF!</definedName>
    <definedName name="чраеоргь" localSheetId="10">#REF!</definedName>
    <definedName name="чраеоргь" localSheetId="9">#REF!</definedName>
    <definedName name="чраеоргь" localSheetId="8">#REF!</definedName>
    <definedName name="чраеоргь" localSheetId="1">#REF!</definedName>
    <definedName name="чраеоргь" localSheetId="0">#REF!</definedName>
    <definedName name="чраеоргь">#REF!</definedName>
    <definedName name="эждд" localSheetId="7">#REF!</definedName>
    <definedName name="эждд" localSheetId="3">#REF!</definedName>
    <definedName name="эждд" localSheetId="11">#REF!</definedName>
    <definedName name="эждд" localSheetId="6">#REF!</definedName>
    <definedName name="эждд" localSheetId="5">#REF!</definedName>
    <definedName name="эждд" localSheetId="4">#REF!</definedName>
    <definedName name="эждд" localSheetId="2">#REF!</definedName>
    <definedName name="эждд" localSheetId="10">#REF!</definedName>
    <definedName name="эждд" localSheetId="9">#REF!</definedName>
    <definedName name="эждд" localSheetId="8">#REF!</definedName>
    <definedName name="эждд" localSheetId="1">#REF!</definedName>
    <definedName name="эждд" localSheetId="0">#REF!</definedName>
    <definedName name="эждд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6" l="1"/>
  <c r="C45" i="41"/>
  <c r="C62" i="35"/>
  <c r="C42" i="43"/>
  <c r="C41" i="43"/>
  <c r="C10" i="43"/>
  <c r="C10" i="37"/>
  <c r="C48" i="37" s="1"/>
  <c r="C87" i="24"/>
  <c r="C86" i="24"/>
  <c r="C87" i="27"/>
  <c r="C86" i="27"/>
  <c r="C72" i="29"/>
  <c r="C71" i="29"/>
  <c r="C63" i="31"/>
  <c r="C62" i="31"/>
  <c r="C63" i="33"/>
  <c r="C62" i="33"/>
  <c r="C63" i="35"/>
  <c r="C47" i="37"/>
  <c r="C50" i="39"/>
  <c r="C44" i="41"/>
  <c r="C51" i="39" l="1"/>
  <c r="C25" i="41"/>
  <c r="C19" i="41"/>
  <c r="C13" i="41"/>
  <c r="C40" i="39"/>
  <c r="C34" i="39"/>
  <c r="C25" i="39"/>
  <c r="C19" i="39"/>
  <c r="C13" i="39"/>
  <c r="B9" i="6"/>
  <c r="E7" i="42" l="1"/>
  <c r="C11" i="42"/>
  <c r="C10" i="42"/>
  <c r="C9" i="42"/>
  <c r="C8" i="42"/>
  <c r="L7" i="42"/>
  <c r="K7" i="42"/>
  <c r="J7" i="42"/>
  <c r="I7" i="42"/>
  <c r="H7" i="42"/>
  <c r="G7" i="42"/>
  <c r="F7" i="42"/>
  <c r="D7" i="42"/>
  <c r="C7" i="42" l="1"/>
  <c r="C11" i="40" l="1"/>
  <c r="C10" i="40"/>
  <c r="C9" i="40"/>
  <c r="C8" i="40"/>
  <c r="M7" i="40"/>
  <c r="L7" i="40"/>
  <c r="K7" i="40"/>
  <c r="J7" i="40"/>
  <c r="I7" i="40"/>
  <c r="H7" i="40"/>
  <c r="G7" i="40"/>
  <c r="F7" i="40"/>
  <c r="E7" i="40"/>
  <c r="D7" i="40"/>
  <c r="B10" i="6"/>
  <c r="C7" i="40" l="1"/>
  <c r="H7" i="38" l="1"/>
  <c r="C11" i="38" l="1"/>
  <c r="C10" i="38"/>
  <c r="C9" i="38"/>
  <c r="C8" i="38"/>
  <c r="P7" i="38"/>
  <c r="O7" i="38"/>
  <c r="N7" i="38"/>
  <c r="M7" i="38"/>
  <c r="L7" i="38"/>
  <c r="K7" i="38"/>
  <c r="J7" i="38"/>
  <c r="I7" i="38"/>
  <c r="G7" i="38"/>
  <c r="F7" i="38"/>
  <c r="E7" i="38"/>
  <c r="D7" i="38"/>
  <c r="C25" i="35"/>
  <c r="C13" i="35"/>
  <c r="C34" i="35"/>
  <c r="C40" i="35"/>
  <c r="C19" i="35"/>
  <c r="C43" i="35"/>
  <c r="C37" i="37"/>
  <c r="C31" i="37"/>
  <c r="C22" i="37"/>
  <c r="C16" i="37"/>
  <c r="C13" i="37"/>
  <c r="C11" i="36"/>
  <c r="C10" i="36"/>
  <c r="C9" i="36"/>
  <c r="C8" i="36"/>
  <c r="B11" i="6"/>
  <c r="C7" i="38" l="1"/>
  <c r="C7" i="36"/>
  <c r="P7" i="36" l="1"/>
  <c r="O7" i="36"/>
  <c r="N7" i="36"/>
  <c r="M7" i="36"/>
  <c r="L7" i="36"/>
  <c r="K7" i="36"/>
  <c r="J7" i="36"/>
  <c r="I7" i="36"/>
  <c r="H7" i="36"/>
  <c r="G7" i="36"/>
  <c r="F7" i="36"/>
  <c r="E7" i="36"/>
  <c r="D7" i="36"/>
  <c r="B14" i="6"/>
  <c r="B12" i="6" l="1"/>
  <c r="C11" i="34" l="1"/>
  <c r="C10" i="34"/>
  <c r="C9" i="34"/>
  <c r="C8" i="34"/>
  <c r="V7" i="34"/>
  <c r="U7" i="34"/>
  <c r="T7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13" i="31"/>
  <c r="D13" i="31"/>
  <c r="C25" i="31"/>
  <c r="C19" i="31"/>
  <c r="C34" i="31"/>
  <c r="C40" i="31"/>
  <c r="C43" i="31"/>
  <c r="C13" i="33"/>
  <c r="C34" i="33"/>
  <c r="C40" i="33"/>
  <c r="C19" i="33"/>
  <c r="C43" i="33"/>
  <c r="C25" i="33"/>
  <c r="B13" i="6"/>
  <c r="C13" i="6"/>
  <c r="C7" i="34" l="1"/>
  <c r="C11" i="32" l="1"/>
  <c r="C10" i="32"/>
  <c r="C9" i="32"/>
  <c r="C8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14" i="6"/>
  <c r="C12" i="6"/>
  <c r="C11" i="6"/>
  <c r="C7" i="32" l="1"/>
  <c r="U10" i="30" l="1"/>
  <c r="C11" i="30" l="1"/>
  <c r="C10" i="30"/>
  <c r="C9" i="30"/>
  <c r="C8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43" i="24"/>
  <c r="C73" i="24"/>
  <c r="C55" i="24"/>
  <c r="C58" i="24"/>
  <c r="C31" i="24"/>
  <c r="C25" i="24"/>
  <c r="C16" i="24"/>
  <c r="C25" i="27"/>
  <c r="C31" i="27"/>
  <c r="C58" i="27"/>
  <c r="C43" i="27"/>
  <c r="C16" i="27"/>
  <c r="C73" i="27"/>
  <c r="C13" i="29"/>
  <c r="C10" i="29"/>
  <c r="C46" i="29"/>
  <c r="C19" i="29"/>
  <c r="C43" i="29"/>
  <c r="C37" i="29"/>
  <c r="C25" i="29"/>
  <c r="C7" i="30" l="1"/>
  <c r="C11" i="28"/>
  <c r="C10" i="28"/>
  <c r="C9" i="28"/>
  <c r="C8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 l="1"/>
  <c r="C7" i="26"/>
  <c r="C11" i="26"/>
  <c r="C10" i="26"/>
  <c r="C9" i="26"/>
  <c r="C8" i="26"/>
  <c r="AA7" i="26" l="1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17" i="6"/>
  <c r="C18" i="6"/>
  <c r="L10" i="25" l="1"/>
  <c r="C11" i="25" l="1"/>
  <c r="I7" i="25"/>
  <c r="C10" i="25"/>
  <c r="C9" i="25"/>
  <c r="E7" i="25"/>
  <c r="C8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H7" i="25"/>
  <c r="G7" i="25"/>
  <c r="F7" i="25"/>
  <c r="D7" i="25"/>
  <c r="C58" i="21"/>
  <c r="C25" i="21"/>
  <c r="C28" i="21"/>
  <c r="C55" i="21"/>
  <c r="C31" i="21"/>
  <c r="C16" i="21"/>
  <c r="C31" i="22"/>
  <c r="C43" i="22"/>
  <c r="C73" i="22"/>
  <c r="C25" i="22"/>
  <c r="C58" i="22"/>
  <c r="C16" i="22"/>
  <c r="C55" i="22"/>
  <c r="C86" i="22"/>
  <c r="D33" i="22"/>
  <c r="C7" i="25" l="1"/>
  <c r="I10" i="23"/>
  <c r="J10" i="23" l="1"/>
  <c r="G10" i="23"/>
  <c r="E8" i="23"/>
  <c r="C11" i="23" l="1"/>
  <c r="C10" i="23"/>
  <c r="C9" i="23"/>
  <c r="C8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87" i="22"/>
  <c r="C86" i="21"/>
  <c r="C7" i="23" l="1"/>
  <c r="AC11" i="20"/>
  <c r="C15" i="6" l="1"/>
  <c r="B15" i="6" s="1"/>
  <c r="C16" i="6"/>
  <c r="B16" i="6" s="1"/>
  <c r="B17" i="6"/>
  <c r="B18" i="6"/>
  <c r="C19" i="6"/>
  <c r="B19" i="6" s="1"/>
  <c r="C8" i="6"/>
  <c r="C8" i="20" l="1"/>
  <c r="C87" i="21" l="1"/>
  <c r="C9" i="6" l="1"/>
  <c r="C11" i="20" l="1"/>
  <c r="C10" i="20"/>
  <c r="C9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 l="1"/>
  <c r="C10" i="6" l="1"/>
</calcChain>
</file>

<file path=xl/sharedStrings.xml><?xml version="1.0" encoding="utf-8"?>
<sst xmlns="http://schemas.openxmlformats.org/spreadsheetml/2006/main" count="2269" uniqueCount="129">
  <si>
    <t xml:space="preserve"> пп "г" п 20 Стандартов раскрытия информации, утвержденных постановлением правительства от 21.01.2004 № 24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</si>
  <si>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2020 год</t>
  </si>
  <si>
    <t>Январь 2020</t>
  </si>
  <si>
    <t>Уровень напряжения</t>
  </si>
  <si>
    <t>Всего полезный отпуск по ООО "АЭР"</t>
  </si>
  <si>
    <t>Полезный отпуск ПАО "Кубаньэнерго"</t>
  </si>
  <si>
    <t>Полезный отпуск ПАО "МОЭСК"</t>
  </si>
  <si>
    <t>Полезный отпуск АО "ОЭК"</t>
  </si>
  <si>
    <t>Полезный отпуск ООО "Брянскэлектро"</t>
  </si>
  <si>
    <t>Полезный отпуск ПАО "МРСК Центра" - "Брянскэнерго"</t>
  </si>
  <si>
    <t>Полезный отпуск ОАО "Сетевая компания"</t>
  </si>
  <si>
    <t>Полезный отпуск ПАО "Ленэнерго"</t>
  </si>
  <si>
    <t>Полезный отпуск 
АО "Новгородоблэлектро"</t>
  </si>
  <si>
    <t>Полезный отпуск
ПАО "МРСК Центра" - Липецкэнерго</t>
  </si>
  <si>
    <t>Всего полезный отпуск по тарифам для прочих потребителей</t>
  </si>
  <si>
    <t>Всего, кВтч</t>
  </si>
  <si>
    <t>ВН</t>
  </si>
  <si>
    <t>-</t>
  </si>
  <si>
    <t>СН1</t>
  </si>
  <si>
    <t>СН2</t>
  </si>
  <si>
    <t>НН</t>
  </si>
  <si>
    <t>Февраль 2020</t>
  </si>
  <si>
    <t>Полезный отпуск
ООО "Электрощит"-Энергосеть"</t>
  </si>
  <si>
    <t>Март 2020</t>
  </si>
  <si>
    <t>Полезный отпуск 
АО "Самарская сетевая компания"</t>
  </si>
  <si>
    <t>Полезный отпуск
ПАО "МРСК Центра" - Смоленскэнерго"</t>
  </si>
  <si>
    <t>Полезный отпуск
МУП "Электросеть"</t>
  </si>
  <si>
    <t>Апрель 2020</t>
  </si>
  <si>
    <t>Май 2020</t>
  </si>
  <si>
    <t>Полезный отпуск
ЗАО "Энергетика и Связь Строительства"</t>
  </si>
  <si>
    <t xml:space="preserve">Полезный отпуск
ПАО "МРСК Северо-Запада" </t>
  </si>
  <si>
    <t>Полезный отпуск
АО "Региональные электрические сети"</t>
  </si>
  <si>
    <t xml:space="preserve">Полезный отпуск
ПАО "МРСК Центра и Приволжья" </t>
  </si>
  <si>
    <t>Полезный отпуск
ПАО "МРСК Центра" "Тверьэнерго"</t>
  </si>
  <si>
    <t>Полезный отпуск
ПАО "МРСК Центра и Приволжья" "Тулэнерго"</t>
  </si>
  <si>
    <t>Июнь 2020</t>
  </si>
  <si>
    <t>Июль 2020</t>
  </si>
  <si>
    <t>Полезный отпуск ПАО "Россети Московский регион"</t>
  </si>
  <si>
    <t>Август 2020</t>
  </si>
  <si>
    <t>Полезный отпуск
ОАО "Томская распределительная компания"</t>
  </si>
  <si>
    <t>Сентябрь 2020</t>
  </si>
  <si>
    <t>Полезный отпуск 
ПАО "Россети ВОЛГА"</t>
  </si>
  <si>
    <t>Полезный отпуск
АО "ОРЭС-Тольятти"</t>
  </si>
  <si>
    <t>Полезный отпуск
ПАО "Россети-Юг"-"Волгоградэнерго"</t>
  </si>
  <si>
    <t>Полезный отпуск
АО " Волгоградские межрайонные 
электрические сети "</t>
  </si>
  <si>
    <t>Октябрь 2020</t>
  </si>
  <si>
    <t>Полезный отпуск ПАО "Россети Кубань"</t>
  </si>
  <si>
    <t>Полезный отпуск
ПАО "ФСК ЕНЭС"</t>
  </si>
  <si>
    <t>Полезный отпуск
АО "Донэнерго"</t>
  </si>
  <si>
    <t>Полезный отпуск
ПАО "Россети Юг"</t>
  </si>
  <si>
    <t>Ноябрь 2020</t>
  </si>
  <si>
    <t>Декабрь 2020</t>
  </si>
  <si>
    <t xml:space="preserve"> пп "е" п 20 Стандартов раскрытия информации, утвержденных постановлением правительства от 21.01.2004 № 24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</si>
  <si>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</si>
  <si>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</si>
  <si>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</si>
  <si>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</si>
  <si>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</si>
  <si>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</si>
  <si>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</si>
  <si>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</si>
  <si>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</si>
  <si>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</si>
  <si>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АО "НЭСК"</t>
  </si>
  <si>
    <t>электроэнергия</t>
  </si>
  <si>
    <t>мощность</t>
  </si>
  <si>
    <t>АО "Мосэнергосбыт"</t>
  </si>
  <si>
    <t>АО "Красногорскэнергосбыт"</t>
  </si>
  <si>
    <t>ООО "Газпром энергосбыт Брянск"</t>
  </si>
  <si>
    <t>АО "Татэнергосбыт"</t>
  </si>
  <si>
    <t>АО "Петербургская сбытовая компания"</t>
  </si>
  <si>
    <t>ООО "ЛЭСК"</t>
  </si>
  <si>
    <t>ООО "Новитэн"</t>
  </si>
  <si>
    <t>Прочие</t>
  </si>
  <si>
    <t>ООО "РСК"</t>
  </si>
  <si>
    <t xml:space="preserve">ЗАО "Сахарный комбинат "Курганинский" </t>
  </si>
  <si>
    <t>Итого электроэнергия</t>
  </si>
  <si>
    <t>Итого мощность</t>
  </si>
  <si>
    <t>АО "Самарагорэнергосбыт"</t>
  </si>
  <si>
    <t>АО "СмоленскАтомЭнергоСбыт"</t>
  </si>
  <si>
    <t>ООО "Северная сбытовая компания" Вологда</t>
  </si>
  <si>
    <t>АО "Электросеть"</t>
  </si>
  <si>
    <t>ООО "ТольяттиЭнергоСбыт"</t>
  </si>
  <si>
    <t>АО "Новосибирскэнергосбыт"</t>
  </si>
  <si>
    <t>ООО "РГМЭК"</t>
  </si>
  <si>
    <t>АО "ТверьАтомЭнергоСбыт"</t>
  </si>
  <si>
    <t>ООО "РКС-ЭНЕРГО"</t>
  </si>
  <si>
    <t>АО "Томскэнергосбыт"</t>
  </si>
  <si>
    <t>ООО "РН-энерго"</t>
  </si>
  <si>
    <t xml:space="preserve"> ПАО "ТНС энерго Кубань"</t>
  </si>
  <si>
    <t>ЗАО «Балашихинская Электросеть»</t>
  </si>
  <si>
    <t>ПАО "Самараэнерго"</t>
  </si>
  <si>
    <t>АО "Тольяттинская энергосбытовая компания"</t>
  </si>
  <si>
    <t>ПАО "Волгоградэнергосбыт"</t>
  </si>
  <si>
    <t>пп "б" п 23 Стандартов раскрытия информации, утвержденных постановлением правительства от 21.01.2004</t>
  </si>
  <si>
    <t>Фактический объем электроэнергии, отпущенный потребителям ООО "АЭР"  в 2020 году</t>
  </si>
  <si>
    <t>Период</t>
  </si>
  <si>
    <t>Всего</t>
  </si>
  <si>
    <r>
      <t xml:space="preserve">в том числе </t>
    </r>
    <r>
      <rPr>
        <i/>
        <sz val="12"/>
        <rFont val="Times New Roman"/>
        <family val="1"/>
        <charset val="204"/>
      </rPr>
      <t>населению  и потребителям, приравненным к населению</t>
    </r>
  </si>
  <si>
    <t>в том числе:</t>
  </si>
  <si>
    <t>Краснодарский край и Республика Адыгея</t>
  </si>
  <si>
    <t>Москва и Московская область</t>
  </si>
  <si>
    <t>Брянская область</t>
  </si>
  <si>
    <t>Республика Татарстан</t>
  </si>
  <si>
    <t>Санкт-Петербург и Ленинградская область</t>
  </si>
  <si>
    <t>Новгородская область</t>
  </si>
  <si>
    <t>Липецкая область</t>
  </si>
  <si>
    <t>Самарская область</t>
  </si>
  <si>
    <t>Смоленская область</t>
  </si>
  <si>
    <t>Вологодская область</t>
  </si>
  <si>
    <t>Новосибирская область</t>
  </si>
  <si>
    <t>Рязанская область</t>
  </si>
  <si>
    <t>Тверская область</t>
  </si>
  <si>
    <t>Тульская область</t>
  </si>
  <si>
    <t>Нижегородская область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</si>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</sst>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_-* #,##0_р_._-;\-* #,##0_р_._-;_-* &quot;-&quot;_р_._-;_-@_-"/>
    <numFmt numFmtId="166" formatCode="_-* #,##0.00_р_._-;\-* #,##0.00_р_._-;_-* &quot;-&quot;??_р_._-;_-@_-"/>
    <numFmt numFmtId="167" formatCode="General_)"/>
    <numFmt numFmtId="168" formatCode="#,##0.0"/>
    <numFmt numFmtId="169" formatCode="0.000"/>
    <numFmt numFmtId="170" formatCode="[$-419]mmmm\ yyyy;@"/>
    <numFmt numFmtId="171" formatCode="0.0000"/>
    <numFmt numFmtId="172" formatCode="#,##0.00_р_."/>
    <numFmt numFmtId="173" formatCode="_-* #,##0_-;\-* #,##0_-;_-* &quot;-&quot;??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5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/>
    <xf numFmtId="0" fontId="9" fillId="0" borderId="0" applyNumberFormat="0">
      <alignment horizontal="left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67" fontId="3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7" fontId="18" fillId="21" borderId="1"/>
    <xf numFmtId="4" fontId="19" fillId="22" borderId="8" applyBorder="0">
      <alignment horizontal="right"/>
    </xf>
    <xf numFmtId="0" fontId="20" fillId="0" borderId="9" applyNumberFormat="0" applyFill="0" applyAlignment="0" applyProtection="0"/>
    <xf numFmtId="0" fontId="21" fillId="23" borderId="10" applyNumberFormat="0" applyAlignment="0" applyProtection="0"/>
    <xf numFmtId="0" fontId="24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" vertical="center" wrapText="1"/>
    </xf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7" fillId="0" borderId="0"/>
    <xf numFmtId="0" fontId="7" fillId="0" borderId="0"/>
    <xf numFmtId="0" fontId="35" fillId="0" borderId="0"/>
    <xf numFmtId="0" fontId="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26" borderId="11" applyNumberFormat="0" applyFont="0" applyAlignment="0" applyProtection="0"/>
    <xf numFmtId="9" fontId="2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49" fontId="24" fillId="0" borderId="0">
      <alignment horizontal="center"/>
    </xf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" fontId="19" fillId="24" borderId="0" applyFont="0" applyBorder="0">
      <alignment horizontal="right"/>
    </xf>
    <xf numFmtId="4" fontId="19" fillId="24" borderId="13" applyBorder="0">
      <alignment horizontal="right"/>
    </xf>
    <xf numFmtId="4" fontId="19" fillId="27" borderId="14" applyBorder="0">
      <alignment horizontal="right"/>
    </xf>
    <xf numFmtId="0" fontId="33" fillId="4" borderId="0" applyNumberFormat="0" applyBorder="0" applyAlignment="0" applyProtection="0"/>
    <xf numFmtId="0" fontId="44" fillId="0" borderId="0"/>
    <xf numFmtId="0" fontId="30" fillId="0" borderId="0"/>
    <xf numFmtId="9" fontId="5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42" fillId="0" borderId="0"/>
    <xf numFmtId="0" fontId="20" fillId="0" borderId="9" applyNumberFormat="0" applyFill="0" applyAlignment="0" applyProtection="0"/>
    <xf numFmtId="0" fontId="27" fillId="3" borderId="0" applyNumberFormat="0" applyBorder="0" applyAlignment="0" applyProtection="0"/>
    <xf numFmtId="0" fontId="33" fillId="4" borderId="0" applyNumberFormat="0" applyBorder="0" applyAlignment="0" applyProtection="0"/>
    <xf numFmtId="0" fontId="5" fillId="26" borderId="11" applyNumberFormat="0" applyFont="0" applyAlignment="0" applyProtection="0"/>
    <xf numFmtId="0" fontId="29" fillId="0" borderId="12" applyNumberFormat="0" applyFill="0" applyAlignment="0" applyProtection="0"/>
    <xf numFmtId="0" fontId="21" fillId="23" borderId="10" applyNumberFormat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14" fillId="0" borderId="4" applyNumberFormat="0" applyFill="0" applyAlignment="0" applyProtection="0"/>
    <xf numFmtId="0" fontId="43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45" fillId="0" borderId="0" applyFont="0" applyFill="0" applyBorder="0" applyAlignment="0" applyProtection="0"/>
  </cellStyleXfs>
  <cellXfs count="88">
    <xf numFmtId="0" fontId="0" fillId="0" borderId="0" xfId="0"/>
    <xf numFmtId="3" fontId="37" fillId="0" borderId="8" xfId="51" applyNumberFormat="1" applyFont="1" applyBorder="1" applyAlignment="1">
      <alignment horizontal="center"/>
    </xf>
    <xf numFmtId="3" fontId="37" fillId="28" borderId="8" xfId="51" applyNumberFormat="1" applyFont="1" applyFill="1" applyBorder="1" applyAlignment="1">
      <alignment horizontal="center"/>
    </xf>
    <xf numFmtId="0" fontId="37" fillId="0" borderId="8" xfId="51" applyFont="1" applyBorder="1" applyAlignment="1">
      <alignment horizontal="center" vertical="center"/>
    </xf>
    <xf numFmtId="3" fontId="37" fillId="0" borderId="8" xfId="51" applyNumberFormat="1" applyFont="1" applyBorder="1" applyAlignment="1">
      <alignment horizontal="center" vertical="center"/>
    </xf>
    <xf numFmtId="0" fontId="36" fillId="28" borderId="8" xfId="60" applyFont="1" applyFill="1" applyBorder="1" applyAlignment="1">
      <alignment horizontal="center" vertical="center" wrapText="1"/>
    </xf>
    <xf numFmtId="0" fontId="36" fillId="0" borderId="8" xfId="51" applyFont="1" applyBorder="1" applyAlignment="1">
      <alignment horizontal="center" vertical="center"/>
    </xf>
    <xf numFmtId="3" fontId="36" fillId="0" borderId="8" xfId="51" applyNumberFormat="1" applyFont="1" applyBorder="1" applyAlignment="1">
      <alignment horizontal="center"/>
    </xf>
    <xf numFmtId="0" fontId="37" fillId="0" borderId="0" xfId="51" applyFont="1"/>
    <xf numFmtId="0" fontId="36" fillId="0" borderId="0" xfId="0" applyFont="1" applyAlignment="1">
      <alignment wrapText="1"/>
    </xf>
    <xf numFmtId="0" fontId="36" fillId="0" borderId="8" xfId="0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vertical="top" wrapText="1"/>
    </xf>
    <xf numFmtId="0" fontId="36" fillId="0" borderId="8" xfId="0" applyFont="1" applyBorder="1"/>
    <xf numFmtId="0" fontId="36" fillId="28" borderId="8" xfId="0" applyFont="1" applyFill="1" applyBorder="1"/>
    <xf numFmtId="0" fontId="36" fillId="0" borderId="0" xfId="0" applyFont="1"/>
    <xf numFmtId="169" fontId="36" fillId="0" borderId="0" xfId="0" applyNumberFormat="1" applyFont="1"/>
    <xf numFmtId="0" fontId="37" fillId="28" borderId="8" xfId="0" applyFont="1" applyFill="1" applyBorder="1" applyAlignment="1">
      <alignment horizontal="right"/>
    </xf>
    <xf numFmtId="4" fontId="37" fillId="28" borderId="8" xfId="0" applyNumberFormat="1" applyFont="1" applyFill="1" applyBorder="1"/>
    <xf numFmtId="2" fontId="37" fillId="28" borderId="8" xfId="0" applyNumberFormat="1" applyFont="1" applyFill="1" applyBorder="1"/>
    <xf numFmtId="1" fontId="37" fillId="0" borderId="0" xfId="0" applyNumberFormat="1" applyFont="1"/>
    <xf numFmtId="4" fontId="36" fillId="28" borderId="8" xfId="0" applyNumberFormat="1" applyFont="1" applyFill="1" applyBorder="1"/>
    <xf numFmtId="2" fontId="36" fillId="28" borderId="8" xfId="0" applyNumberFormat="1" applyFont="1" applyFill="1" applyBorder="1"/>
    <xf numFmtId="4" fontId="37" fillId="0" borderId="0" xfId="0" applyNumberFormat="1" applyFont="1"/>
    <xf numFmtId="171" fontId="37" fillId="0" borderId="0" xfId="0" applyNumberFormat="1" applyFont="1"/>
    <xf numFmtId="0" fontId="37" fillId="0" borderId="8" xfId="0" applyFont="1" applyBorder="1" applyAlignment="1">
      <alignment horizontal="right"/>
    </xf>
    <xf numFmtId="171" fontId="37" fillId="28" borderId="8" xfId="0" applyNumberFormat="1" applyFont="1" applyFill="1" applyBorder="1"/>
    <xf numFmtId="0" fontId="40" fillId="0" borderId="0" xfId="47" applyFont="1"/>
    <xf numFmtId="0" fontId="40" fillId="0" borderId="0" xfId="47" applyFont="1" applyAlignment="1">
      <alignment horizontal="left" vertical="center" wrapText="1"/>
    </xf>
    <xf numFmtId="3" fontId="40" fillId="0" borderId="0" xfId="47" applyNumberFormat="1" applyFont="1" applyAlignment="1">
      <alignment horizontal="center" vertical="center"/>
    </xf>
    <xf numFmtId="0" fontId="38" fillId="0" borderId="8" xfId="47" applyFont="1" applyBorder="1" applyAlignment="1">
      <alignment horizontal="center" vertical="center" wrapText="1"/>
    </xf>
    <xf numFmtId="3" fontId="37" fillId="0" borderId="0" xfId="51" applyNumberFormat="1" applyFont="1"/>
    <xf numFmtId="3" fontId="37" fillId="28" borderId="8" xfId="0" applyNumberFormat="1" applyFont="1" applyFill="1" applyBorder="1"/>
    <xf numFmtId="3" fontId="36" fillId="28" borderId="8" xfId="0" applyNumberFormat="1" applyFont="1" applyFill="1" applyBorder="1"/>
    <xf numFmtId="0" fontId="40" fillId="0" borderId="0" xfId="47" applyFont="1" applyFill="1"/>
    <xf numFmtId="3" fontId="37" fillId="0" borderId="0" xfId="0" applyNumberFormat="1" applyFont="1"/>
    <xf numFmtId="170" fontId="40" fillId="0" borderId="8" xfId="47" applyNumberFormat="1" applyFont="1" applyFill="1" applyBorder="1" applyAlignment="1">
      <alignment horizontal="left" vertical="center" wrapText="1"/>
    </xf>
    <xf numFmtId="3" fontId="40" fillId="0" borderId="8" xfId="47" applyNumberFormat="1" applyFont="1" applyFill="1" applyBorder="1" applyAlignment="1">
      <alignment horizontal="center" vertical="center"/>
    </xf>
    <xf numFmtId="0" fontId="41" fillId="0" borderId="0" xfId="0" applyFont="1"/>
    <xf numFmtId="0" fontId="37" fillId="0" borderId="8" xfId="0" applyFont="1" applyBorder="1" applyAlignment="1">
      <alignment horizontal="right" vertical="center"/>
    </xf>
    <xf numFmtId="0" fontId="36" fillId="0" borderId="8" xfId="0" applyFont="1" applyBorder="1" applyAlignment="1">
      <alignment horizontal="right"/>
    </xf>
    <xf numFmtId="2" fontId="37" fillId="0" borderId="8" xfId="0" applyNumberFormat="1" applyFont="1" applyBorder="1" applyAlignment="1">
      <alignment horizontal="right"/>
    </xf>
    <xf numFmtId="0" fontId="36" fillId="0" borderId="8" xfId="0" applyFont="1" applyFill="1" applyBorder="1"/>
    <xf numFmtId="3" fontId="37" fillId="0" borderId="8" xfId="0" applyNumberFormat="1" applyFont="1" applyFill="1" applyBorder="1"/>
    <xf numFmtId="2" fontId="37" fillId="0" borderId="8" xfId="0" applyNumberFormat="1" applyFont="1" applyFill="1" applyBorder="1"/>
    <xf numFmtId="0" fontId="37" fillId="0" borderId="8" xfId="0" applyFont="1" applyBorder="1" applyAlignment="1">
      <alignment horizontal="center" vertical="center"/>
    </xf>
    <xf numFmtId="3" fontId="40" fillId="0" borderId="0" xfId="47" applyNumberFormat="1" applyFont="1"/>
    <xf numFmtId="173" fontId="37" fillId="0" borderId="0" xfId="184" applyNumberFormat="1" applyFont="1"/>
    <xf numFmtId="173" fontId="37" fillId="0" borderId="0" xfId="0" applyNumberFormat="1" applyFont="1"/>
    <xf numFmtId="0" fontId="37" fillId="0" borderId="0" xfId="0" applyFont="1" applyFill="1"/>
    <xf numFmtId="4" fontId="37" fillId="28" borderId="8" xfId="0" applyNumberFormat="1" applyFont="1" applyFill="1" applyBorder="1" applyAlignment="1">
      <alignment horizontal="right" vertical="center"/>
    </xf>
    <xf numFmtId="164" fontId="37" fillId="0" borderId="8" xfId="184" applyFont="1" applyBorder="1" applyAlignment="1">
      <alignment horizontal="center" vertical="center"/>
    </xf>
    <xf numFmtId="164" fontId="37" fillId="0" borderId="0" xfId="184" applyFont="1"/>
    <xf numFmtId="43" fontId="37" fillId="0" borderId="0" xfId="51" applyNumberFormat="1" applyFont="1"/>
    <xf numFmtId="173" fontId="37" fillId="0" borderId="0" xfId="51" applyNumberFormat="1" applyFont="1"/>
    <xf numFmtId="3" fontId="37" fillId="0" borderId="8" xfId="51" applyNumberFormat="1" applyFont="1" applyFill="1" applyBorder="1" applyAlignment="1">
      <alignment horizontal="center"/>
    </xf>
    <xf numFmtId="0" fontId="37" fillId="0" borderId="15" xfId="0" applyFont="1" applyBorder="1" applyAlignment="1">
      <alignment horizontal="right"/>
    </xf>
    <xf numFmtId="2" fontId="37" fillId="28" borderId="15" xfId="0" applyNumberFormat="1" applyFont="1" applyFill="1" applyBorder="1"/>
    <xf numFmtId="0" fontId="37" fillId="0" borderId="16" xfId="0" applyFont="1" applyBorder="1" applyAlignment="1">
      <alignment horizontal="right"/>
    </xf>
    <xf numFmtId="2" fontId="37" fillId="28" borderId="16" xfId="0" applyNumberFormat="1" applyFont="1" applyFill="1" applyBorder="1"/>
    <xf numFmtId="0" fontId="37" fillId="0" borderId="8" xfId="0" applyFont="1" applyBorder="1"/>
    <xf numFmtId="3" fontId="36" fillId="0" borderId="8" xfId="51" applyNumberFormat="1" applyFont="1" applyFill="1" applyBorder="1" applyAlignment="1">
      <alignment horizontal="center"/>
    </xf>
    <xf numFmtId="0" fontId="37" fillId="0" borderId="0" xfId="51" applyFont="1" applyAlignment="1">
      <alignment horizontal="right"/>
    </xf>
    <xf numFmtId="0" fontId="36" fillId="0" borderId="0" xfId="0" applyFont="1" applyAlignment="1">
      <alignment horizontal="center" wrapText="1"/>
    </xf>
    <xf numFmtId="0" fontId="36" fillId="0" borderId="8" xfId="0" applyFont="1" applyBorder="1" applyAlignment="1">
      <alignment horizontal="left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 horizontal="left" vertical="top" wrapText="1"/>
    </xf>
    <xf numFmtId="0" fontId="36" fillId="0" borderId="8" xfId="0" applyFont="1" applyBorder="1" applyAlignment="1">
      <alignment horizontal="center" vertical="center"/>
    </xf>
    <xf numFmtId="168" fontId="38" fillId="0" borderId="8" xfId="47" applyNumberFormat="1" applyFont="1" applyBorder="1" applyAlignment="1">
      <alignment horizontal="center" vertical="center" wrapText="1"/>
    </xf>
    <xf numFmtId="0" fontId="36" fillId="28" borderId="8" xfId="51" applyFont="1" applyFill="1" applyBorder="1" applyAlignment="1">
      <alignment horizontal="center" vertical="center" wrapText="1"/>
    </xf>
    <xf numFmtId="49" fontId="36" fillId="0" borderId="8" xfId="51" applyNumberFormat="1" applyFont="1" applyBorder="1" applyAlignment="1">
      <alignment horizontal="center" vertical="center" wrapText="1"/>
    </xf>
    <xf numFmtId="0" fontId="36" fillId="0" borderId="8" xfId="60" applyFont="1" applyBorder="1" applyAlignment="1">
      <alignment horizontal="center" vertical="center" wrapText="1"/>
    </xf>
    <xf numFmtId="0" fontId="37" fillId="0" borderId="0" xfId="51" applyFont="1" applyAlignment="1">
      <alignment horizontal="right"/>
    </xf>
    <xf numFmtId="0" fontId="37" fillId="0" borderId="0" xfId="51" applyFont="1" applyAlignment="1">
      <alignment horizontal="right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0" fontId="36" fillId="0" borderId="8" xfId="0" applyFont="1" applyBorder="1" applyAlignment="1">
      <alignment horizontal="left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170" fontId="36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/>
    </xf>
    <xf numFmtId="0" fontId="38" fillId="0" borderId="0" xfId="47" applyFont="1" applyAlignment="1">
      <alignment horizontal="center" vertical="center" wrapText="1"/>
    </xf>
    <xf numFmtId="0" fontId="38" fillId="0" borderId="8" xfId="47" applyFont="1" applyBorder="1" applyAlignment="1">
      <alignment horizontal="center" vertical="center"/>
    </xf>
    <xf numFmtId="168" fontId="38" fillId="0" borderId="8" xfId="47" applyNumberFormat="1" applyFont="1" applyBorder="1" applyAlignment="1">
      <alignment horizontal="center" vertical="center" wrapText="1"/>
    </xf>
    <xf numFmtId="0" fontId="38" fillId="0" borderId="8" xfId="47" applyFont="1" applyBorder="1" applyAlignment="1">
      <alignment horizontal="center"/>
    </xf>
    <xf numFmtId="0" fontId="37" fillId="0" borderId="0" xfId="0" applyFont="1" applyAlignment="1">
      <alignment horizontal="right"/>
    </xf>
  </cellXfs>
  <cellStyles count="185">
    <cellStyle name=" 1" xfId="76" xr:uid="{EFA34AB8-D8F7-4520-BDAC-D47449C9193B}"/>
    <cellStyle name="_Передача 2005_отпр в РЭК_сентябрь2005" xfId="1" xr:uid="{00000000-0005-0000-0000-000000000000}"/>
    <cellStyle name="20% - Акцент1 2" xfId="2" xr:uid="{00000000-0005-0000-0000-000001000000}"/>
    <cellStyle name="20% - Акцент2 2" xfId="3" xr:uid="{00000000-0005-0000-0000-000002000000}"/>
    <cellStyle name="20% - Акцент3 2" xfId="4" xr:uid="{00000000-0005-0000-0000-000003000000}"/>
    <cellStyle name="20% - Акцент4 2" xfId="5" xr:uid="{00000000-0005-0000-0000-000004000000}"/>
    <cellStyle name="20% - Акцент5 2" xfId="6" xr:uid="{00000000-0005-0000-0000-000005000000}"/>
    <cellStyle name="20% - Акцент6 2" xfId="7" xr:uid="{00000000-0005-0000-0000-000006000000}"/>
    <cellStyle name="40% - Акцент1 2" xfId="8" xr:uid="{00000000-0005-0000-0000-000007000000}"/>
    <cellStyle name="40% - Акцент2 2" xfId="9" xr:uid="{00000000-0005-0000-0000-000008000000}"/>
    <cellStyle name="40% - Акцент3 2" xfId="10" xr:uid="{00000000-0005-0000-0000-000009000000}"/>
    <cellStyle name="40% - Акцент4 2" xfId="11" xr:uid="{00000000-0005-0000-0000-00000A000000}"/>
    <cellStyle name="40% - Акцент5 2" xfId="12" xr:uid="{00000000-0005-0000-0000-00000B000000}"/>
    <cellStyle name="40% - Акцент6 2" xfId="13" xr:uid="{00000000-0005-0000-0000-00000C000000}"/>
    <cellStyle name="60% - Акцент1 2" xfId="14" xr:uid="{00000000-0005-0000-0000-00000D000000}"/>
    <cellStyle name="60% - Акцент2 2" xfId="15" xr:uid="{00000000-0005-0000-0000-00000E000000}"/>
    <cellStyle name="60% - Акцент3 2" xfId="16" xr:uid="{00000000-0005-0000-0000-00000F000000}"/>
    <cellStyle name="60% - Акцент4 2" xfId="17" xr:uid="{00000000-0005-0000-0000-000010000000}"/>
    <cellStyle name="60% - Акцент5 2" xfId="18" xr:uid="{00000000-0005-0000-0000-000011000000}"/>
    <cellStyle name="60% - Акцент6 2" xfId="19" xr:uid="{00000000-0005-0000-0000-000012000000}"/>
    <cellStyle name="Normal_Sheet1" xfId="95" xr:uid="{BB29BBDD-6E48-49B9-952C-12E6956CA51E}"/>
    <cellStyle name="Normal1" xfId="20" xr:uid="{00000000-0005-0000-0000-000014000000}"/>
    <cellStyle name="Price_Body" xfId="21" xr:uid="{00000000-0005-0000-0000-000015000000}"/>
    <cellStyle name="Акцент1 2" xfId="22" xr:uid="{00000000-0005-0000-0000-000016000000}"/>
    <cellStyle name="Акцент2 2" xfId="23" xr:uid="{00000000-0005-0000-0000-000017000000}"/>
    <cellStyle name="Акцент3 2" xfId="24" xr:uid="{00000000-0005-0000-0000-000018000000}"/>
    <cellStyle name="Акцент4 2" xfId="25" xr:uid="{00000000-0005-0000-0000-000019000000}"/>
    <cellStyle name="Акцент5 2" xfId="26" xr:uid="{00000000-0005-0000-0000-00001A000000}"/>
    <cellStyle name="Акцент6 2" xfId="27" xr:uid="{00000000-0005-0000-0000-00001B000000}"/>
    <cellStyle name="Беззащитный" xfId="28" xr:uid="{00000000-0005-0000-0000-00001C000000}"/>
    <cellStyle name="Ввод  2" xfId="29" xr:uid="{00000000-0005-0000-0000-00001D000000}"/>
    <cellStyle name="Вывод 2" xfId="30" xr:uid="{00000000-0005-0000-0000-00001E000000}"/>
    <cellStyle name="Вычисление 2" xfId="31" xr:uid="{00000000-0005-0000-0000-00001F000000}"/>
    <cellStyle name="Заголовок" xfId="32" xr:uid="{00000000-0005-0000-0000-000020000000}"/>
    <cellStyle name="Заголовок 1 2" xfId="33" xr:uid="{00000000-0005-0000-0000-000021000000}"/>
    <cellStyle name="Заголовок 2 2" xfId="34" xr:uid="{00000000-0005-0000-0000-000022000000}"/>
    <cellStyle name="Заголовок 3 2" xfId="35" xr:uid="{00000000-0005-0000-0000-000023000000}"/>
    <cellStyle name="Заголовок 4 2" xfId="36" xr:uid="{00000000-0005-0000-0000-000024000000}"/>
    <cellStyle name="ЗаголовокСтолбца" xfId="37" xr:uid="{00000000-0005-0000-0000-000025000000}"/>
    <cellStyle name="Защитный" xfId="38" xr:uid="{00000000-0005-0000-0000-000026000000}"/>
    <cellStyle name="Значение" xfId="39" xr:uid="{00000000-0005-0000-0000-000027000000}"/>
    <cellStyle name="Итог 2" xfId="40" xr:uid="{00000000-0005-0000-0000-000028000000}"/>
    <cellStyle name="Контрольная ячейка 2" xfId="41" xr:uid="{00000000-0005-0000-0000-000029000000}"/>
    <cellStyle name="Мои наименования показателей" xfId="42" xr:uid="{00000000-0005-0000-0000-00002C000000}"/>
    <cellStyle name="Мой заголовок" xfId="43" xr:uid="{00000000-0005-0000-0000-00002A000000}"/>
    <cellStyle name="Мой заголовок листа" xfId="44" xr:uid="{00000000-0005-0000-0000-00002B000000}"/>
    <cellStyle name="Название 2" xfId="45" xr:uid="{00000000-0005-0000-0000-00002D000000}"/>
    <cellStyle name="Нейтральный 2" xfId="46" xr:uid="{00000000-0005-0000-0000-00002E000000}"/>
    <cellStyle name="Обычный" xfId="0" builtinId="0"/>
    <cellStyle name="Обычный 10" xfId="47" xr:uid="{00000000-0005-0000-0000-00002F000000}"/>
    <cellStyle name="Обычный 11" xfId="48" xr:uid="{00000000-0005-0000-0000-000030000000}"/>
    <cellStyle name="Обычный 12" xfId="75" xr:uid="{77CA99C3-8763-4FD4-AF2F-3CBDCABD2D4E}"/>
    <cellStyle name="Обычный 2" xfId="49" xr:uid="{00000000-0005-0000-0000-000031000000}"/>
    <cellStyle name="Обычный 2 2" xfId="50" xr:uid="{00000000-0005-0000-0000-000032000000}"/>
    <cellStyle name="Обычный 2 2 2" xfId="84" xr:uid="{1A51BEA8-7506-45E3-81A1-AC3624E61C05}"/>
    <cellStyle name="Обычный 2 3" xfId="51" xr:uid="{00000000-0005-0000-0000-000033000000}"/>
    <cellStyle name="Обычный 2_Приложение КЭСК" xfId="52" xr:uid="{00000000-0005-0000-0000-000034000000}"/>
    <cellStyle name="Обычный 3" xfId="53" xr:uid="{00000000-0005-0000-0000-000035000000}"/>
    <cellStyle name="Обычный 3 2" xfId="97" xr:uid="{DD0BF84D-72C0-4371-89BC-8D3B25C68CE0}"/>
    <cellStyle name="Обычный 3 2 10 2" xfId="151" xr:uid="{07556234-A6EB-4BEA-A3F0-5EC2549CAD90}"/>
    <cellStyle name="Обычный 3 2 11" xfId="120" xr:uid="{F21A65AF-5434-4DAB-B881-779EA08453F4}"/>
    <cellStyle name="Обычный 3 2 11 2" xfId="123" xr:uid="{AB55CADB-F6A6-451F-BEAB-73A4CE0AE13E}"/>
    <cellStyle name="Обычный 3 2 11 2 2" xfId="176" xr:uid="{300B7981-AB2B-4403-925B-1499BAC07615}"/>
    <cellStyle name="Обычный 3 2 11 3" xfId="173" xr:uid="{53B7BAF7-7789-40CF-BC87-CDDE663423E2}"/>
    <cellStyle name="Обычный 3 2 12" xfId="129" xr:uid="{E16920A9-DED4-4B8C-B7D0-DF8C72182C9C}"/>
    <cellStyle name="Обычный 3 2 12 2" xfId="182" xr:uid="{8E3E272D-B563-4950-8586-470B5C15F48A}"/>
    <cellStyle name="Обычный 3 2 2" xfId="101" xr:uid="{41BD3C53-6B79-47CD-AD27-B936C1281FCC}"/>
    <cellStyle name="Обычный 3 2 2 10" xfId="128" xr:uid="{DAA431CD-C2B2-4707-95D2-2FF8DFBB6302}"/>
    <cellStyle name="Обычный 3 2 2 10 2" xfId="181" xr:uid="{020A05A6-4758-4F88-B111-EEEC85D7936F}"/>
    <cellStyle name="Обычный 3 2 2 11" xfId="124" xr:uid="{73F11B1D-5955-4564-B506-F02F74C35187}"/>
    <cellStyle name="Обычный 3 2 2 11 2" xfId="177" xr:uid="{2092CAD7-9CEF-433F-88CA-D9CC8BD87F32}"/>
    <cellStyle name="Обычный 3 2 2 2" xfId="102" xr:uid="{BEB058F2-2024-4579-BA8F-C287FDEE1572}"/>
    <cellStyle name="Обычный 3 2 2 2 2" xfId="104" xr:uid="{94BAA7C1-2D6D-45B6-ACB0-C14D2ADECAFF}"/>
    <cellStyle name="Обычный 3 2 2 2 2 2" xfId="116" xr:uid="{74821B0C-D8A0-496A-915F-48926D274B2A}"/>
    <cellStyle name="Обычный 3 2 2 2 2 2 2" xfId="122" xr:uid="{856BCDB7-CA09-4573-9B02-8A5F7E571EAC}"/>
    <cellStyle name="Обычный 3 2 2 2 2 2 2 2" xfId="175" xr:uid="{DCBFC21A-34BF-48DE-A224-F8822E76F411}"/>
    <cellStyle name="Обычный 3 2 2 2 2 2 3" xfId="169" xr:uid="{7091B8E1-FFEE-4B2C-83B2-1658EAE5F7C7}"/>
    <cellStyle name="Обычный 3 2 2 2 2 3" xfId="121" xr:uid="{7CE121FB-A10A-4461-8D23-1CE432A77B14}"/>
    <cellStyle name="Обычный 3 2 2 2 2 3 2" xfId="174" xr:uid="{55A9392E-1DC8-4BF7-B9D7-BD5BF6F10D83}"/>
    <cellStyle name="Обычный 3 2 2 2 2 4" xfId="160" xr:uid="{02C32429-750B-4ADB-9B16-CF8C6EC05797}"/>
    <cellStyle name="Обычный 3 2 2 2 3" xfId="114" xr:uid="{ACDE6895-0D95-4381-86FC-38A896460F3A}"/>
    <cellStyle name="Обычный 3 2 2 2 3 2" xfId="133" xr:uid="{9707D82C-E91D-49CF-91ED-A51272241AE0}"/>
    <cellStyle name="Обычный 3 2 2 2 3 3" xfId="167" xr:uid="{5E550937-0577-4AFD-9F81-ECA835DD431D}"/>
    <cellStyle name="Обычный 3 2 2 2 4" xfId="130" xr:uid="{AAE8E867-2830-409D-A1FA-BAD2086BA48C}"/>
    <cellStyle name="Обычный 3 2 2 2 4 2" xfId="131" xr:uid="{78F288EC-C17F-4530-BCB2-004BC5778A6D}"/>
    <cellStyle name="Обычный 3 2 2 2 5" xfId="158" xr:uid="{1CCABED4-469B-4A7B-AABF-1921A0303E1C}"/>
    <cellStyle name="Обычный 3 2 2 3" xfId="113" xr:uid="{48C028BB-D77D-4F74-A5AC-9E0E672956C9}"/>
    <cellStyle name="Обычный 3 2 2 3 2" xfId="134" xr:uid="{F58C83B4-0E84-49A0-A133-84921E4C320D}"/>
    <cellStyle name="Обычный 3 2 2 3 3" xfId="166" xr:uid="{651AF09A-23FF-4565-954A-B0D6AEA8A2AE}"/>
    <cellStyle name="Обычный 3 2 2 4" xfId="135" xr:uid="{BD6CE7A4-3AA9-4217-8E3C-3AEA9B6D7CDD}"/>
    <cellStyle name="Обычный 3 2 2 4 4" xfId="119" xr:uid="{F077CF85-E8EE-4450-8CDD-925F0935D072}"/>
    <cellStyle name="Обычный 3 2 2 4 4 2" xfId="136" xr:uid="{67E54601-F674-4C9E-BB14-7245677D6B15}"/>
    <cellStyle name="Обычный 3 2 2 4 4 3" xfId="172" xr:uid="{6BA19362-D1B9-4A32-9F6F-13305C37CCB2}"/>
    <cellStyle name="Обычный 3 2 2 5" xfId="137" xr:uid="{EFBEB116-955D-4D1D-BB32-A34954CF3697}"/>
    <cellStyle name="Обычный 3 2 2 6" xfId="157" xr:uid="{4729F423-BDFD-4F81-A5C1-4058723A40B9}"/>
    <cellStyle name="Обычный 3 2 3" xfId="117" xr:uid="{8A1299AF-C9B8-442A-97D6-A4F42474B660}"/>
    <cellStyle name="Обычный 3 2 3 2" xfId="138" xr:uid="{0223B165-24DB-4A48-A3B4-49FB3DDBA1A1}"/>
    <cellStyle name="Обычный 3 2 3 3" xfId="170" xr:uid="{F7C24835-320C-45C6-AAFD-A9ED02529FEF}"/>
    <cellStyle name="Обычный 3 2 4" xfId="139" xr:uid="{56B5D955-AA2A-420F-A03A-1BDDA188328F}"/>
    <cellStyle name="Обычный 3 2 5" xfId="106" xr:uid="{33E3E0CE-EC61-48F9-B3E2-C559C2248752}"/>
    <cellStyle name="Обычный 3 2 5 2" xfId="140" xr:uid="{221F8220-A8B8-4B99-A80C-90029AB21EFA}"/>
    <cellStyle name="Обычный 3 2 5 3" xfId="162" xr:uid="{5BA50CD9-E9CA-4C39-8D41-4AD7B5BF906B}"/>
    <cellStyle name="Обычный 3 2 6" xfId="154" xr:uid="{A98996D6-EFCE-40FC-AB4E-DB2A5E8941F8}"/>
    <cellStyle name="Обычный 3 3" xfId="141" xr:uid="{0A1873D7-A768-46BC-96F3-0201F27BD94A}"/>
    <cellStyle name="Обычный 3 4" xfId="152" xr:uid="{A89DA937-7585-4B3B-8AAE-CAD6C24B6E91}"/>
    <cellStyle name="Обычный 3 5" xfId="83" xr:uid="{AEECA8C8-92A9-4EC7-8167-E23381C5D808}"/>
    <cellStyle name="Обычный 4" xfId="54" xr:uid="{00000000-0005-0000-0000-000036000000}"/>
    <cellStyle name="Обычный 4 2" xfId="98" xr:uid="{65B9A6E2-8F61-4CB5-818C-E1ADB5FC852C}"/>
    <cellStyle name="Обычный 4 2 2" xfId="103" xr:uid="{C0C32FF5-41D3-4B1B-BA0F-CD896CD2E43F}"/>
    <cellStyle name="Обычный 4 2 2 2" xfId="115" xr:uid="{E84B56AF-BD2D-4BA2-A8F7-D3691A1D1A59}"/>
    <cellStyle name="Обычный 4 2 2 2 2" xfId="142" xr:uid="{905808BB-6A14-4585-9055-07320C66A216}"/>
    <cellStyle name="Обычный 4 2 2 2 3" xfId="168" xr:uid="{71E28F42-377F-405D-87F9-CA1CAA4AE60A}"/>
    <cellStyle name="Обычный 4 2 2 3" xfId="143" xr:uid="{01333972-1E2B-4690-8A40-B5DB0DC060A3}"/>
    <cellStyle name="Обычный 4 2 2 3 2" xfId="132" xr:uid="{72769D5A-5840-45F4-B666-F1CCFE7F1B06}"/>
    <cellStyle name="Обычный 4 2 2 4" xfId="159" xr:uid="{41223F82-8F06-4ACF-BA0E-A96C40B42248}"/>
    <cellStyle name="Обычный 4 2 3" xfId="118" xr:uid="{F3FCE43D-0D79-47D5-8CCC-9CF6D1262AE0}"/>
    <cellStyle name="Обычный 4 2 3 2" xfId="144" xr:uid="{679220A1-CE78-4C9F-AE81-5B02FD7620A6}"/>
    <cellStyle name="Обычный 4 2 3 3" xfId="171" xr:uid="{45EBF2DB-59CD-430C-8DF6-6FE5E063CAED}"/>
    <cellStyle name="Обычный 4 2 4" xfId="111" xr:uid="{6D5ACBEA-3A25-4EE9-9537-6E08A8B241B1}"/>
    <cellStyle name="Обычный 4 2 4 2" xfId="145" xr:uid="{61CCBB47-AE6D-473C-B3AC-2725048A0570}"/>
    <cellStyle name="Обычный 4 2 4 3" xfId="164" xr:uid="{AE839594-C92C-44B5-B939-B6B7132E89DC}"/>
    <cellStyle name="Обычный 4 2 5" xfId="126" xr:uid="{F06A25DA-3A8D-453B-BD2D-CE855E7D3CBB}"/>
    <cellStyle name="Обычный 4 2 5 2" xfId="179" xr:uid="{51032528-A9DB-416D-9949-8C08CD4A3FA6}"/>
    <cellStyle name="Обычный 4 2 6" xfId="155" xr:uid="{919BE307-7542-425C-84C1-2C22DD5D1186}"/>
    <cellStyle name="Обычный 4 3" xfId="110" xr:uid="{C435D255-7919-4EFC-B43D-E0060DAD72A6}"/>
    <cellStyle name="Обычный 4 3 2" xfId="146" xr:uid="{6E3DCD82-9F0A-4144-A320-4B7C79AE1A6F}"/>
    <cellStyle name="Обычный 4 3 3" xfId="163" xr:uid="{00F883DF-3B93-4B7A-8F66-137EF84FC6BE}"/>
    <cellStyle name="Обычный 4 4" xfId="125" xr:uid="{9EBBCA83-5D78-4F18-B03F-8D15395E97AC}"/>
    <cellStyle name="Обычный 4 4 2" xfId="178" xr:uid="{5590E8F8-4ED3-40E0-BB75-01290BF82BE5}"/>
    <cellStyle name="Обычный 4 5" xfId="153" xr:uid="{54AA709B-4508-4FBD-9FC3-2680E94F9A68}"/>
    <cellStyle name="Обычный 4 6" xfId="92" xr:uid="{408AC8AE-1800-4F65-B628-2527AA32C5B6}"/>
    <cellStyle name="Обычный 5" xfId="55" xr:uid="{00000000-0005-0000-0000-000037000000}"/>
    <cellStyle name="Обычный 5 2" xfId="112" xr:uid="{F1820B96-CB70-47A4-8442-07CABF260402}"/>
    <cellStyle name="Обычный 5 2 2" xfId="147" xr:uid="{A05D5F6F-1BF1-4D01-AAFC-8F516AB6C550}"/>
    <cellStyle name="Обычный 5 2 3" xfId="165" xr:uid="{FD05A619-CA36-48A0-A319-BF18A0C98640}"/>
    <cellStyle name="Обычный 5 3" xfId="127" xr:uid="{0E1EA434-8ABD-4DD0-8DA4-8F423D29BDB0}"/>
    <cellStyle name="Обычный 5 3 2" xfId="180" xr:uid="{38952135-7473-4DD6-8C8E-F69717DC2279}"/>
    <cellStyle name="Обычный 5 4" xfId="156" xr:uid="{AD1ADD9F-E934-4CDD-8351-0BF7CD7C7714}"/>
    <cellStyle name="Обычный 5 5" xfId="99" xr:uid="{04E5B190-0EC6-4EC3-95F9-1178FBC48F7C}"/>
    <cellStyle name="Обычный 6" xfId="56" xr:uid="{00000000-0005-0000-0000-000038000000}"/>
    <cellStyle name="Обычный 6 2" xfId="148" xr:uid="{D5AB0314-67ED-430B-9152-6E511FCDA5CE}"/>
    <cellStyle name="Обычный 6 3" xfId="161" xr:uid="{6B264E24-65D3-4066-ADF9-A7328DF1A242}"/>
    <cellStyle name="Обычный 6 4" xfId="105" xr:uid="{9B79C28C-98CB-4AB7-8EDE-C74FFE66F040}"/>
    <cellStyle name="Обычный 7" xfId="57" xr:uid="{00000000-0005-0000-0000-000039000000}"/>
    <cellStyle name="Обычный 7 2" xfId="149" xr:uid="{04F24AC4-C7C7-4DA8-ADCF-73D4B9816388}"/>
    <cellStyle name="Обычный 8" xfId="58" xr:uid="{00000000-0005-0000-0000-00003A000000}"/>
    <cellStyle name="Обычный 9" xfId="59" xr:uid="{00000000-0005-0000-0000-00003B000000}"/>
    <cellStyle name="Обычный_СЭ-4ф по актам" xfId="60" xr:uid="{00000000-0005-0000-0000-00003C000000}"/>
    <cellStyle name="Плохой 2" xfId="61" xr:uid="{00000000-0005-0000-0000-00003D000000}"/>
    <cellStyle name="Пояснение 2" xfId="62" xr:uid="{00000000-0005-0000-0000-00003E000000}"/>
    <cellStyle name="Примечание 2" xfId="63" xr:uid="{00000000-0005-0000-0000-00003F000000}"/>
    <cellStyle name="Процентный 2" xfId="64" xr:uid="{00000000-0005-0000-0000-000040000000}"/>
    <cellStyle name="Процентный 2 2" xfId="77" xr:uid="{7847522E-969E-4D64-8BF5-5FAE016E2474}"/>
    <cellStyle name="Связанная ячейка 2" xfId="65" xr:uid="{00000000-0005-0000-0000-000041000000}"/>
    <cellStyle name="Стиль 1" xfId="66" xr:uid="{00000000-0005-0000-0000-000042000000}"/>
    <cellStyle name="Текст предупреждения 2" xfId="67" xr:uid="{00000000-0005-0000-0000-000043000000}"/>
    <cellStyle name="Текстовый" xfId="68" xr:uid="{00000000-0005-0000-0000-000044000000}"/>
    <cellStyle name="Тысячи [0]_3Com" xfId="69" xr:uid="{00000000-0005-0000-0000-000045000000}"/>
    <cellStyle name="Тысячи_3Com" xfId="70" xr:uid="{00000000-0005-0000-0000-000046000000}"/>
    <cellStyle name="Финансовый" xfId="184" builtinId="3"/>
    <cellStyle name="Финансовый 2" xfId="78" xr:uid="{D703A069-6844-4C6F-B60C-8C679D1D78B4}"/>
    <cellStyle name="Финансовый 2 2" xfId="107" xr:uid="{19F0BD4B-C0C2-4209-A731-0CC42C966968}"/>
    <cellStyle name="Финансовый 3" xfId="79" xr:uid="{FDA72B98-3EB3-48A8-93A9-290ACFE331AB}"/>
    <cellStyle name="Финансовый 3 2" xfId="108" xr:uid="{8588E3D9-7722-40A1-BDB1-A6E151766440}"/>
    <cellStyle name="Финансовый 4" xfId="80" xr:uid="{8DC1200C-6912-4B06-BA33-02435C6A665D}"/>
    <cellStyle name="Финансовый 4 2" xfId="109" xr:uid="{08A8860A-A00B-4B6F-A9D1-993047F96945}"/>
    <cellStyle name="Финансовый 5" xfId="96" xr:uid="{0D57DED2-26C9-4523-A367-2CA166B2BD73}"/>
    <cellStyle name="Финансовый 6" xfId="150" xr:uid="{8D9996B1-B48A-4832-9CB3-E4752F96E0B9}"/>
    <cellStyle name="Формула" xfId="71" xr:uid="{00000000-0005-0000-0000-000047000000}"/>
    <cellStyle name="ФормулаВБ" xfId="72" xr:uid="{00000000-0005-0000-0000-000048000000}"/>
    <cellStyle name="ФормулаНаКонтроль" xfId="73" xr:uid="{00000000-0005-0000-0000-000049000000}"/>
    <cellStyle name="Хороший 2" xfId="74" xr:uid="{00000000-0005-0000-0000-00004A000000}"/>
    <cellStyle name="㼿" xfId="85" xr:uid="{8B3C8775-0D9D-4750-B73E-67B95BFE0587}"/>
    <cellStyle name="㼿?" xfId="86" xr:uid="{D599E1C1-A142-4398-BCE0-8AE4394F0945}"/>
    <cellStyle name="㼿㼿" xfId="87" xr:uid="{D9EE3E2D-1B57-44D6-B280-C87E709736A3}"/>
    <cellStyle name="㼿㼿 2" xfId="100" xr:uid="{8E025AEC-8A58-468D-A96D-03B845D1BF5F}"/>
    <cellStyle name="㼿㼿?" xfId="88" xr:uid="{3327184E-C93A-4B61-BBFE-C726BB6D9701}"/>
    <cellStyle name="㼿㼿? 2" xfId="183" xr:uid="{C004A44C-5EC4-4021-977F-6765FCE405AB}"/>
    <cellStyle name="㼿㼿㼿" xfId="81" xr:uid="{749BFF36-D441-4641-9ED0-212648B452AE}"/>
    <cellStyle name="㼿㼿㼿 2" xfId="94" xr:uid="{7BE86143-31CE-4996-B869-C2CFC7F703EC}"/>
    <cellStyle name="㼿㼿㼿?" xfId="82" xr:uid="{5D51FF39-6D82-42D8-87AC-8A8ED313418B}"/>
    <cellStyle name="㼿㼿㼿? 2" xfId="93" xr:uid="{2DFC8A45-DBC0-429A-A4A5-0A52C7DE8F24}"/>
    <cellStyle name="㼿㼿㼿㼿" xfId="89" xr:uid="{46018B34-1763-4497-B29C-030B8D98E904}"/>
    <cellStyle name="㼿㼿㼿㼿?" xfId="90" xr:uid="{F5DAD7F1-6081-4609-AA64-0C1DB8335586}"/>
    <cellStyle name="㼿㼿㼿㼿㼿" xfId="91" xr:uid="{816A1CD7-6FCF-497E-AFA1-8F0CF0A3F41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7;&#1083;&#1072;&#1090;&#1099;%20&#1087;&#1086;&#1089;&#1090;&#1072;&#1074;&#1097;&#1080;&#1082;&#1072;&#1084;%20&#1069;&#1069;/04-12%20&#1044;&#1072;&#1085;&#1085;&#1099;&#1077;%20&#1087;&#1086;%20&#1087;&#1086;&#1090;&#1088;&#1077;&#1073;&#1083;&#1077;&#1085;&#1080;&#1102;%20&#1080;%20&#1086;&#1087;&#1083;&#1072;&#1090;&#1077;%20(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7;&#1083;&#1072;&#1090;&#1099;%20&#1087;&#1086;&#1089;&#1090;&#1072;&#1074;&#1097;&#1080;&#1082;&#1072;&#1084;%20&#1069;&#1069;/&#1040;&#1088;&#1093;&#1080;&#1074;/!%20&#1042;&#1089;&#1077;%20&#1073;&#1072;&#1083;&#1072;&#1085;&#1089;&#1099;%20&#1069;&#1069;%20&#1054;&#1054;&#1054;%20&#1040;&#1069;&#1056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 20"/>
      <sheetName val="Май 20 (с итогами)"/>
      <sheetName val="Июнь 20"/>
      <sheetName val="Июль 20"/>
      <sheetName val="Август 20"/>
      <sheetName val="Сентябрь20"/>
      <sheetName val="Октябрь20"/>
      <sheetName val="Ноябрь20"/>
      <sheetName val="Декабрь20"/>
      <sheetName val="Январь 21"/>
      <sheetName val="Лист1"/>
    </sheetNames>
    <sheetDataSet>
      <sheetData sheetId="0"/>
      <sheetData sheetId="1"/>
      <sheetData sheetId="2"/>
      <sheetData sheetId="3">
        <row r="60">
          <cell r="M60">
            <v>11395</v>
          </cell>
        </row>
      </sheetData>
      <sheetData sheetId="4"/>
      <sheetData sheetId="5"/>
      <sheetData sheetId="6">
        <row r="73">
          <cell r="M73">
            <v>19448</v>
          </cell>
        </row>
      </sheetData>
      <sheetData sheetId="7">
        <row r="25">
          <cell r="F25">
            <v>26974</v>
          </cell>
          <cell r="H25"/>
        </row>
        <row r="35">
          <cell r="M35">
            <v>21256</v>
          </cell>
        </row>
        <row r="76">
          <cell r="M76">
            <v>148501</v>
          </cell>
        </row>
        <row r="105">
          <cell r="F105">
            <v>483896</v>
          </cell>
        </row>
      </sheetData>
      <sheetData sheetId="8">
        <row r="119">
          <cell r="F119">
            <v>12320</v>
          </cell>
          <cell r="H119"/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 2020"/>
      <sheetName val="Май 2020"/>
      <sheetName val="Июнь 2020"/>
      <sheetName val="Июль 2020"/>
      <sheetName val="Август 2020"/>
      <sheetName val="Сентябрь 2020"/>
      <sheetName val="Октябрь 2020"/>
      <sheetName val="Ноябрь 2020"/>
      <sheetName val="Декабрь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4">
          <cell r="F64">
            <v>14709</v>
          </cell>
          <cell r="G64">
            <v>48051.923999999992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C931-DDDA-4644-BCAB-53A4F20ACB8D}">
  <sheetPr>
    <pageSetUpPr fitToPage="1"/>
  </sheetPr>
  <dimension ref="B1:L17"/>
  <sheetViews>
    <sheetView tabSelected="1" zoomScale="60" zoomScaleNormal="60" workbookViewId="0">
      <selection activeCell="H23" sqref="H23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4" width="22.28515625" style="8" customWidth="1"/>
    <col min="5" max="6" width="21.5703125" style="8" customWidth="1"/>
    <col min="7" max="8" width="23.7109375" style="8" customWidth="1"/>
    <col min="9" max="10" width="23.85546875" style="8" customWidth="1"/>
    <col min="11" max="11" width="28" style="8" customWidth="1"/>
    <col min="12" max="12" width="22.140625" style="8" customWidth="1"/>
    <col min="13" max="16384" width="9.140625" style="8"/>
  </cols>
  <sheetData>
    <row r="1" spans="2:12" ht="15.75" customHeight="1">
      <c r="L1" s="62" t="s">
        <v>0</v>
      </c>
    </row>
    <row r="3" spans="2:12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12" ht="24.75" customHeight="1"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2:12" ht="63">
      <c r="B5" s="71" t="s">
        <v>3</v>
      </c>
      <c r="C5" s="71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</row>
    <row r="6" spans="2:12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</row>
    <row r="7" spans="2:12">
      <c r="B7" s="6" t="s">
        <v>15</v>
      </c>
      <c r="C7" s="7">
        <f>SUM(C8:C11)</f>
        <v>3554098</v>
      </c>
      <c r="D7" s="7">
        <f t="shared" ref="D7:L7" si="0">SUM(D8:D11)</f>
        <v>2934094</v>
      </c>
      <c r="E7" s="61">
        <f t="shared" si="0"/>
        <v>292008</v>
      </c>
      <c r="F7" s="7">
        <f t="shared" si="0"/>
        <v>21512</v>
      </c>
      <c r="G7" s="7">
        <f t="shared" si="0"/>
        <v>29948</v>
      </c>
      <c r="H7" s="7">
        <f t="shared" si="0"/>
        <v>25951</v>
      </c>
      <c r="I7" s="7">
        <f t="shared" si="0"/>
        <v>109599</v>
      </c>
      <c r="J7" s="7">
        <f t="shared" si="0"/>
        <v>73062</v>
      </c>
      <c r="K7" s="7">
        <f t="shared" si="0"/>
        <v>23500</v>
      </c>
      <c r="L7" s="7">
        <f t="shared" si="0"/>
        <v>44424</v>
      </c>
    </row>
    <row r="8" spans="2:12">
      <c r="B8" s="3" t="s">
        <v>16</v>
      </c>
      <c r="C8" s="7">
        <f>SUM(D8:L8)</f>
        <v>537767</v>
      </c>
      <c r="D8" s="1">
        <v>537767</v>
      </c>
      <c r="E8" s="55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</row>
    <row r="9" spans="2:12">
      <c r="B9" s="3" t="s">
        <v>18</v>
      </c>
      <c r="C9" s="7">
        <f>SUM(D9:L9)</f>
        <v>242068</v>
      </c>
      <c r="D9" s="1">
        <v>242068</v>
      </c>
      <c r="E9" s="55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</row>
    <row r="10" spans="2:12">
      <c r="B10" s="3" t="s">
        <v>19</v>
      </c>
      <c r="C10" s="7">
        <f>SUM(D10:L10)</f>
        <v>2705471</v>
      </c>
      <c r="D10" s="1">
        <v>2095824</v>
      </c>
      <c r="E10" s="55">
        <v>291775</v>
      </c>
      <c r="F10" s="1">
        <v>21512</v>
      </c>
      <c r="G10" s="1">
        <v>29948</v>
      </c>
      <c r="H10" s="1">
        <v>25951</v>
      </c>
      <c r="I10" s="1">
        <v>109599</v>
      </c>
      <c r="J10" s="1">
        <v>73062</v>
      </c>
      <c r="K10" s="1">
        <v>23500</v>
      </c>
      <c r="L10" s="1">
        <v>34300</v>
      </c>
    </row>
    <row r="11" spans="2:12">
      <c r="B11" s="3" t="s">
        <v>20</v>
      </c>
      <c r="C11" s="7">
        <f>SUM(D11:L11)</f>
        <v>68792</v>
      </c>
      <c r="D11" s="1">
        <v>58435</v>
      </c>
      <c r="E11" s="55">
        <v>233</v>
      </c>
      <c r="F11" s="1" t="s">
        <v>17</v>
      </c>
      <c r="G11" s="1" t="s">
        <v>17</v>
      </c>
      <c r="H11" s="1" t="s">
        <v>17</v>
      </c>
      <c r="I11" s="1" t="s">
        <v>17</v>
      </c>
      <c r="J11" s="1" t="s">
        <v>17</v>
      </c>
      <c r="K11" s="1" t="s">
        <v>17</v>
      </c>
      <c r="L11" s="1">
        <v>10124</v>
      </c>
    </row>
    <row r="13" spans="2:12">
      <c r="C13" s="52"/>
    </row>
    <row r="14" spans="2:12">
      <c r="C14" s="53"/>
    </row>
    <row r="15" spans="2:12">
      <c r="E15" s="31"/>
    </row>
    <row r="16" spans="2:12">
      <c r="C16" s="47"/>
    </row>
    <row r="17" spans="3:3">
      <c r="C17" s="54"/>
    </row>
  </sheetData>
  <mergeCells count="4">
    <mergeCell ref="B3:L3"/>
    <mergeCell ref="B4:L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096D-EDFC-41F4-BE1D-663850D895FB}">
  <sheetPr>
    <pageSetUpPr fitToPage="1"/>
  </sheetPr>
  <dimension ref="B1:AD18"/>
  <sheetViews>
    <sheetView zoomScale="60" zoomScaleNormal="60" workbookViewId="0">
      <selection activeCell="C8" sqref="C8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5" width="22.28515625" style="8" customWidth="1"/>
    <col min="6" max="7" width="21.5703125" style="8" customWidth="1"/>
    <col min="8" max="8" width="23.7109375" style="8" customWidth="1"/>
    <col min="9" max="9" width="24.28515625" style="8" customWidth="1"/>
    <col min="10" max="11" width="23.8554687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546875" style="8" customWidth="1"/>
    <col min="28" max="28" width="24.42578125" style="8" customWidth="1"/>
    <col min="29" max="30" width="22.7109375" style="8" customWidth="1"/>
    <col min="31" max="16384" width="9.140625" style="8"/>
  </cols>
  <sheetData>
    <row r="1" spans="2:30">
      <c r="Y1" s="73" t="s">
        <v>0</v>
      </c>
      <c r="Z1" s="73"/>
      <c r="AA1" s="73"/>
      <c r="AB1" s="73"/>
      <c r="AC1" s="73"/>
      <c r="AD1" s="73"/>
    </row>
    <row r="3" spans="2:30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2:30" ht="24.75" customHeight="1">
      <c r="B4" s="70" t="s">
        <v>45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2:30" ht="78.75">
      <c r="B5" s="71" t="s">
        <v>3</v>
      </c>
      <c r="C5" s="71" t="s">
        <v>4</v>
      </c>
      <c r="D5" s="5" t="s">
        <v>46</v>
      </c>
      <c r="E5" s="5" t="s">
        <v>47</v>
      </c>
      <c r="F5" s="5" t="s">
        <v>37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24</v>
      </c>
      <c r="O5" s="5" t="s">
        <v>29</v>
      </c>
      <c r="P5" s="5" t="s">
        <v>22</v>
      </c>
      <c r="Q5" s="5" t="s">
        <v>41</v>
      </c>
      <c r="R5" s="5" t="s">
        <v>42</v>
      </c>
      <c r="S5" s="5" t="s">
        <v>25</v>
      </c>
      <c r="T5" s="5" t="s">
        <v>30</v>
      </c>
      <c r="U5" s="5" t="s">
        <v>26</v>
      </c>
      <c r="V5" s="5" t="s">
        <v>31</v>
      </c>
      <c r="W5" s="5" t="s">
        <v>32</v>
      </c>
      <c r="X5" s="5" t="s">
        <v>33</v>
      </c>
      <c r="Y5" s="5" t="s">
        <v>34</v>
      </c>
      <c r="Z5" s="5" t="s">
        <v>39</v>
      </c>
      <c r="AA5" s="5" t="s">
        <v>43</v>
      </c>
      <c r="AB5" s="5" t="s">
        <v>44</v>
      </c>
      <c r="AC5" s="5" t="s">
        <v>48</v>
      </c>
      <c r="AD5" s="5" t="s">
        <v>49</v>
      </c>
    </row>
    <row r="6" spans="2:30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  <c r="V6" s="5" t="s">
        <v>14</v>
      </c>
      <c r="W6" s="5" t="s">
        <v>14</v>
      </c>
      <c r="X6" s="5" t="s">
        <v>14</v>
      </c>
      <c r="Y6" s="5" t="s">
        <v>14</v>
      </c>
      <c r="Z6" s="5" t="s">
        <v>14</v>
      </c>
      <c r="AA6" s="5" t="s">
        <v>14</v>
      </c>
      <c r="AB6" s="5" t="s">
        <v>14</v>
      </c>
      <c r="AC6" s="5" t="s">
        <v>14</v>
      </c>
      <c r="AD6" s="5" t="s">
        <v>14</v>
      </c>
    </row>
    <row r="7" spans="2:30">
      <c r="B7" s="6" t="s">
        <v>15</v>
      </c>
      <c r="C7" s="7">
        <f t="shared" ref="C7:AD7" si="0">SUM(C8:C11)</f>
        <v>22565157</v>
      </c>
      <c r="D7" s="7">
        <f t="shared" si="0"/>
        <v>19782739</v>
      </c>
      <c r="E7" s="7">
        <f t="shared" si="0"/>
        <v>545131</v>
      </c>
      <c r="F7" s="7">
        <f t="shared" si="0"/>
        <v>502309</v>
      </c>
      <c r="G7" s="7">
        <f t="shared" si="0"/>
        <v>16282</v>
      </c>
      <c r="H7" s="7">
        <f t="shared" si="0"/>
        <v>13918</v>
      </c>
      <c r="I7" s="7">
        <f t="shared" si="0"/>
        <v>22433</v>
      </c>
      <c r="J7" s="7">
        <f t="shared" si="0"/>
        <v>113869</v>
      </c>
      <c r="K7" s="7">
        <f t="shared" si="0"/>
        <v>389087</v>
      </c>
      <c r="L7" s="7">
        <f t="shared" si="0"/>
        <v>19448</v>
      </c>
      <c r="M7" s="7">
        <f t="shared" si="0"/>
        <v>30149</v>
      </c>
      <c r="N7" s="7">
        <f t="shared" si="0"/>
        <v>20590</v>
      </c>
      <c r="O7" s="7">
        <f t="shared" si="0"/>
        <v>17955</v>
      </c>
      <c r="P7" s="7">
        <f t="shared" si="0"/>
        <v>670231</v>
      </c>
      <c r="Q7" s="7">
        <f t="shared" si="0"/>
        <v>6513</v>
      </c>
      <c r="R7" s="7">
        <f t="shared" si="0"/>
        <v>7698</v>
      </c>
      <c r="S7" s="7">
        <f t="shared" si="0"/>
        <v>50458</v>
      </c>
      <c r="T7" s="7">
        <f t="shared" si="0"/>
        <v>35599</v>
      </c>
      <c r="U7" s="7">
        <f t="shared" si="0"/>
        <v>30637</v>
      </c>
      <c r="V7" s="7">
        <f t="shared" si="0"/>
        <v>11242</v>
      </c>
      <c r="W7" s="7">
        <f t="shared" si="0"/>
        <v>11421</v>
      </c>
      <c r="X7" s="7">
        <f t="shared" si="0"/>
        <v>16792</v>
      </c>
      <c r="Y7" s="7">
        <f t="shared" si="0"/>
        <v>12985</v>
      </c>
      <c r="Z7" s="7">
        <f>SUM(Z8:Z11)</f>
        <v>19617</v>
      </c>
      <c r="AA7" s="7">
        <f t="shared" si="0"/>
        <v>5911</v>
      </c>
      <c r="AB7" s="7">
        <f t="shared" si="0"/>
        <v>36403</v>
      </c>
      <c r="AC7" s="7">
        <f>SUM(AC8:AC11)</f>
        <v>5400</v>
      </c>
      <c r="AD7" s="7">
        <f t="shared" si="0"/>
        <v>170340</v>
      </c>
    </row>
    <row r="8" spans="2:30">
      <c r="B8" s="3" t="s">
        <v>16</v>
      </c>
      <c r="C8" s="7">
        <f>SUM(D8:AD8)</f>
        <v>11844681</v>
      </c>
      <c r="D8" s="1">
        <v>11293037</v>
      </c>
      <c r="E8" s="1">
        <v>545131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  <c r="Q8" s="1">
        <v>6513</v>
      </c>
      <c r="R8" s="1" t="s">
        <v>17</v>
      </c>
      <c r="S8" s="1" t="s">
        <v>17</v>
      </c>
      <c r="T8" s="1" t="s">
        <v>17</v>
      </c>
      <c r="U8" s="1" t="s">
        <v>17</v>
      </c>
      <c r="V8" s="1" t="s">
        <v>17</v>
      </c>
      <c r="W8" s="1" t="s">
        <v>17</v>
      </c>
      <c r="X8" s="1" t="s">
        <v>17</v>
      </c>
      <c r="Y8" s="1" t="s">
        <v>17</v>
      </c>
      <c r="Z8" s="1" t="s">
        <v>17</v>
      </c>
      <c r="AA8" s="1" t="s">
        <v>17</v>
      </c>
      <c r="AB8" s="1" t="s">
        <v>17</v>
      </c>
      <c r="AC8" s="1" t="s">
        <v>17</v>
      </c>
      <c r="AD8" s="1" t="s">
        <v>17</v>
      </c>
    </row>
    <row r="9" spans="2:30">
      <c r="B9" s="3" t="s">
        <v>18</v>
      </c>
      <c r="C9" s="7">
        <f t="shared" ref="C9:C11" si="1">SUM(D9:AD9)</f>
        <v>1357299</v>
      </c>
      <c r="D9" s="1">
        <v>687068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 t="s">
        <v>17</v>
      </c>
      <c r="P9" s="1">
        <v>670231</v>
      </c>
      <c r="Q9" s="1" t="s">
        <v>17</v>
      </c>
      <c r="R9" s="1" t="s">
        <v>17</v>
      </c>
      <c r="S9" s="1" t="s">
        <v>17</v>
      </c>
      <c r="T9" s="1" t="s">
        <v>17</v>
      </c>
      <c r="U9" s="1" t="s">
        <v>17</v>
      </c>
      <c r="V9" s="1" t="s">
        <v>17</v>
      </c>
      <c r="W9" s="1" t="s">
        <v>17</v>
      </c>
      <c r="X9" s="1" t="s">
        <v>17</v>
      </c>
      <c r="Y9" s="1" t="s">
        <v>17</v>
      </c>
      <c r="Z9" s="1" t="s">
        <v>17</v>
      </c>
      <c r="AA9" s="1" t="s">
        <v>17</v>
      </c>
      <c r="AB9" s="1" t="s">
        <v>17</v>
      </c>
      <c r="AC9" s="1" t="s">
        <v>17</v>
      </c>
      <c r="AD9" s="1" t="s">
        <v>17</v>
      </c>
    </row>
    <row r="10" spans="2:30">
      <c r="B10" s="3" t="s">
        <v>19</v>
      </c>
      <c r="C10" s="7">
        <f>SUM(D10:AD10)</f>
        <v>9137899</v>
      </c>
      <c r="D10" s="1">
        <v>7660586</v>
      </c>
      <c r="E10" s="1" t="s">
        <v>17</v>
      </c>
      <c r="F10" s="1">
        <v>494179</v>
      </c>
      <c r="G10" s="1">
        <v>16282</v>
      </c>
      <c r="H10" s="1">
        <v>13918</v>
      </c>
      <c r="I10" s="1">
        <v>22433</v>
      </c>
      <c r="J10" s="1">
        <v>113869</v>
      </c>
      <c r="K10" s="1">
        <v>363395</v>
      </c>
      <c r="L10" s="1">
        <f>[1]Октябрь20!M73</f>
        <v>19448</v>
      </c>
      <c r="M10" s="1">
        <v>22289</v>
      </c>
      <c r="N10" s="1">
        <v>20590</v>
      </c>
      <c r="O10" s="1">
        <v>17955</v>
      </c>
      <c r="P10" s="1" t="s">
        <v>17</v>
      </c>
      <c r="Q10" s="1" t="s">
        <v>17</v>
      </c>
      <c r="R10" s="1">
        <v>7698</v>
      </c>
      <c r="S10" s="1">
        <v>45348</v>
      </c>
      <c r="T10" s="1">
        <v>35599</v>
      </c>
      <c r="U10" s="1">
        <v>30637</v>
      </c>
      <c r="V10" s="1">
        <v>11242</v>
      </c>
      <c r="W10" s="1" t="s">
        <v>17</v>
      </c>
      <c r="X10" s="1">
        <v>16792</v>
      </c>
      <c r="Y10" s="1">
        <v>12985</v>
      </c>
      <c r="Z10" s="1" t="s">
        <v>17</v>
      </c>
      <c r="AA10" s="1">
        <v>5911</v>
      </c>
      <c r="AB10" s="1">
        <v>36403</v>
      </c>
      <c r="AC10" s="1" t="s">
        <v>17</v>
      </c>
      <c r="AD10" s="1">
        <v>170340</v>
      </c>
    </row>
    <row r="11" spans="2:30">
      <c r="B11" s="3" t="s">
        <v>20</v>
      </c>
      <c r="C11" s="7">
        <f t="shared" si="1"/>
        <v>225278</v>
      </c>
      <c r="D11" s="1">
        <v>142048</v>
      </c>
      <c r="E11" s="1" t="s">
        <v>17</v>
      </c>
      <c r="F11" s="1">
        <v>8130</v>
      </c>
      <c r="G11" s="1" t="s">
        <v>17</v>
      </c>
      <c r="H11" s="1" t="s">
        <v>17</v>
      </c>
      <c r="I11" s="1" t="s">
        <v>17</v>
      </c>
      <c r="J11" s="1" t="s">
        <v>17</v>
      </c>
      <c r="K11" s="1">
        <v>25692</v>
      </c>
      <c r="L11" s="1" t="s">
        <v>17</v>
      </c>
      <c r="M11" s="1">
        <v>7860</v>
      </c>
      <c r="N11" s="1" t="s">
        <v>17</v>
      </c>
      <c r="O11" s="1" t="s">
        <v>17</v>
      </c>
      <c r="P11" s="1" t="s">
        <v>17</v>
      </c>
      <c r="Q11" s="1" t="s">
        <v>17</v>
      </c>
      <c r="R11" s="1" t="s">
        <v>17</v>
      </c>
      <c r="S11" s="1">
        <v>5110</v>
      </c>
      <c r="T11" s="1" t="s">
        <v>17</v>
      </c>
      <c r="U11" s="1" t="s">
        <v>17</v>
      </c>
      <c r="V11" s="1" t="s">
        <v>17</v>
      </c>
      <c r="W11" s="1">
        <v>11421</v>
      </c>
      <c r="X11" s="1" t="s">
        <v>17</v>
      </c>
      <c r="Y11" s="1" t="s">
        <v>17</v>
      </c>
      <c r="Z11" s="1">
        <v>19617</v>
      </c>
      <c r="AA11" s="1" t="s">
        <v>17</v>
      </c>
      <c r="AB11" s="1" t="s">
        <v>17</v>
      </c>
      <c r="AC11" s="1">
        <v>5400</v>
      </c>
      <c r="AD11" s="1" t="s">
        <v>17</v>
      </c>
    </row>
    <row r="15" spans="2:30">
      <c r="D15" s="47"/>
      <c r="K15" s="31"/>
    </row>
    <row r="16" spans="2:30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8" spans="4:11">
      <c r="D18" s="31"/>
      <c r="F18" s="31"/>
      <c r="G18" s="31"/>
      <c r="K18" s="31"/>
    </row>
  </sheetData>
  <mergeCells count="5">
    <mergeCell ref="Y1:AD1"/>
    <mergeCell ref="B3:AD3"/>
    <mergeCell ref="B4:AD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669A-0E6F-4EF6-B9AC-1AFCCBE00F30}">
  <sheetPr>
    <pageSetUpPr fitToPage="1"/>
  </sheetPr>
  <dimension ref="B1:AD18"/>
  <sheetViews>
    <sheetView zoomScale="60" zoomScaleNormal="60" workbookViewId="0">
      <selection activeCell="A23" sqref="A23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5" width="22.28515625" style="8" customWidth="1"/>
    <col min="6" max="7" width="21.5703125" style="8" customWidth="1"/>
    <col min="8" max="8" width="23.7109375" style="8" customWidth="1"/>
    <col min="9" max="9" width="24.28515625" style="8" customWidth="1"/>
    <col min="10" max="11" width="23.8554687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546875" style="8" customWidth="1"/>
    <col min="28" max="28" width="24.42578125" style="8" customWidth="1"/>
    <col min="29" max="30" width="22.7109375" style="8" customWidth="1"/>
    <col min="31" max="16384" width="9.140625" style="8"/>
  </cols>
  <sheetData>
    <row r="1" spans="2:30">
      <c r="Y1" s="73" t="s">
        <v>0</v>
      </c>
      <c r="Z1" s="73"/>
      <c r="AA1" s="73"/>
      <c r="AB1" s="73"/>
      <c r="AC1" s="73"/>
      <c r="AD1" s="73"/>
    </row>
    <row r="3" spans="2:30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2:30" ht="24.75" customHeight="1">
      <c r="B4" s="70" t="s">
        <v>50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2:30" ht="78.75">
      <c r="B5" s="71" t="s">
        <v>3</v>
      </c>
      <c r="C5" s="71" t="s">
        <v>4</v>
      </c>
      <c r="D5" s="5" t="s">
        <v>46</v>
      </c>
      <c r="E5" s="5" t="s">
        <v>47</v>
      </c>
      <c r="F5" s="5" t="s">
        <v>37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24</v>
      </c>
      <c r="O5" s="5" t="s">
        <v>29</v>
      </c>
      <c r="P5" s="5" t="s">
        <v>22</v>
      </c>
      <c r="Q5" s="5" t="s">
        <v>41</v>
      </c>
      <c r="R5" s="5" t="s">
        <v>42</v>
      </c>
      <c r="S5" s="5" t="s">
        <v>25</v>
      </c>
      <c r="T5" s="5" t="s">
        <v>30</v>
      </c>
      <c r="U5" s="5" t="s">
        <v>26</v>
      </c>
      <c r="V5" s="5" t="s">
        <v>31</v>
      </c>
      <c r="W5" s="5" t="s">
        <v>32</v>
      </c>
      <c r="X5" s="5" t="s">
        <v>33</v>
      </c>
      <c r="Y5" s="5" t="s">
        <v>34</v>
      </c>
      <c r="Z5" s="5" t="s">
        <v>39</v>
      </c>
      <c r="AA5" s="5" t="s">
        <v>43</v>
      </c>
      <c r="AB5" s="5" t="s">
        <v>44</v>
      </c>
      <c r="AC5" s="5" t="s">
        <v>48</v>
      </c>
      <c r="AD5" s="5" t="s">
        <v>49</v>
      </c>
    </row>
    <row r="6" spans="2:30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  <c r="V6" s="5" t="s">
        <v>14</v>
      </c>
      <c r="W6" s="5" t="s">
        <v>14</v>
      </c>
      <c r="X6" s="5" t="s">
        <v>14</v>
      </c>
      <c r="Y6" s="5" t="s">
        <v>14</v>
      </c>
      <c r="Z6" s="5" t="s">
        <v>14</v>
      </c>
      <c r="AA6" s="5" t="s">
        <v>14</v>
      </c>
      <c r="AB6" s="5" t="s">
        <v>14</v>
      </c>
      <c r="AC6" s="5" t="s">
        <v>14</v>
      </c>
      <c r="AD6" s="5" t="s">
        <v>14</v>
      </c>
    </row>
    <row r="7" spans="2:30">
      <c r="B7" s="6" t="s">
        <v>15</v>
      </c>
      <c r="C7" s="7">
        <f t="shared" ref="C7:H7" si="0">SUM(C8:C11)</f>
        <v>14894359</v>
      </c>
      <c r="D7" s="7">
        <f t="shared" si="0"/>
        <v>11628029</v>
      </c>
      <c r="E7" s="7">
        <f t="shared" si="0"/>
        <v>483896</v>
      </c>
      <c r="F7" s="7">
        <f t="shared" si="0"/>
        <v>626690</v>
      </c>
      <c r="G7" s="7">
        <f t="shared" si="0"/>
        <v>21256</v>
      </c>
      <c r="H7" s="7">
        <f t="shared" si="0"/>
        <v>64943</v>
      </c>
      <c r="I7" s="7">
        <f t="shared" ref="I7:AD7" si="1">SUM(I8:I11)</f>
        <v>26974</v>
      </c>
      <c r="J7" s="7">
        <f t="shared" si="1"/>
        <v>148501</v>
      </c>
      <c r="K7" s="7">
        <f t="shared" si="1"/>
        <v>449318</v>
      </c>
      <c r="L7" s="7">
        <f t="shared" si="1"/>
        <v>21077</v>
      </c>
      <c r="M7" s="7">
        <f t="shared" si="1"/>
        <v>37933</v>
      </c>
      <c r="N7" s="7">
        <f t="shared" si="1"/>
        <v>29972</v>
      </c>
      <c r="O7" s="7">
        <f t="shared" si="1"/>
        <v>24802</v>
      </c>
      <c r="P7" s="7">
        <f t="shared" si="1"/>
        <v>844603</v>
      </c>
      <c r="Q7" s="7">
        <f t="shared" si="1"/>
        <v>8222</v>
      </c>
      <c r="R7" s="7">
        <f t="shared" si="1"/>
        <v>10117</v>
      </c>
      <c r="S7" s="7">
        <f t="shared" si="1"/>
        <v>63989</v>
      </c>
      <c r="T7" s="7">
        <f t="shared" si="1"/>
        <v>39556</v>
      </c>
      <c r="U7" s="7">
        <f t="shared" si="1"/>
        <v>37230</v>
      </c>
      <c r="V7" s="7">
        <f t="shared" si="1"/>
        <v>14316</v>
      </c>
      <c r="W7" s="7">
        <f t="shared" si="1"/>
        <v>12519</v>
      </c>
      <c r="X7" s="7">
        <f t="shared" si="1"/>
        <v>20528</v>
      </c>
      <c r="Y7" s="7">
        <f t="shared" si="1"/>
        <v>18079</v>
      </c>
      <c r="Z7" s="7">
        <f>SUM(Z8:Z11)</f>
        <v>21817</v>
      </c>
      <c r="AA7" s="7">
        <f t="shared" si="1"/>
        <v>8208</v>
      </c>
      <c r="AB7" s="7">
        <f t="shared" si="1"/>
        <v>50077</v>
      </c>
      <c r="AC7" s="7">
        <f>SUM(AC8:AC11)</f>
        <v>9929</v>
      </c>
      <c r="AD7" s="7">
        <f t="shared" si="1"/>
        <v>171778</v>
      </c>
    </row>
    <row r="8" spans="2:30">
      <c r="B8" s="3" t="s">
        <v>16</v>
      </c>
      <c r="C8" s="7">
        <f>SUM(D8:AD8)</f>
        <v>6223816</v>
      </c>
      <c r="D8" s="1">
        <v>5731698</v>
      </c>
      <c r="E8" s="1">
        <f>[1]Ноябрь20!F105</f>
        <v>483896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  <c r="Q8" s="1">
        <v>8222</v>
      </c>
      <c r="R8" s="1" t="s">
        <v>17</v>
      </c>
      <c r="S8" s="1" t="s">
        <v>17</v>
      </c>
      <c r="T8" s="1" t="s">
        <v>17</v>
      </c>
      <c r="U8" s="1" t="s">
        <v>17</v>
      </c>
      <c r="V8" s="1" t="s">
        <v>17</v>
      </c>
      <c r="W8" s="1" t="s">
        <v>17</v>
      </c>
      <c r="X8" s="1" t="s">
        <v>17</v>
      </c>
      <c r="Y8" s="1" t="s">
        <v>17</v>
      </c>
      <c r="Z8" s="1" t="s">
        <v>17</v>
      </c>
      <c r="AA8" s="1" t="s">
        <v>17</v>
      </c>
      <c r="AB8" s="1" t="s">
        <v>17</v>
      </c>
      <c r="AC8" s="1" t="s">
        <v>17</v>
      </c>
      <c r="AD8" s="1" t="s">
        <v>17</v>
      </c>
    </row>
    <row r="9" spans="2:30">
      <c r="B9" s="3" t="s">
        <v>18</v>
      </c>
      <c r="C9" s="7">
        <f t="shared" ref="C9:C11" si="2">SUM(D9:AD9)</f>
        <v>1442480</v>
      </c>
      <c r="D9" s="1">
        <v>597877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 t="s">
        <v>17</v>
      </c>
      <c r="P9" s="1">
        <v>844603</v>
      </c>
      <c r="Q9" s="1" t="s">
        <v>17</v>
      </c>
      <c r="R9" s="1" t="s">
        <v>17</v>
      </c>
      <c r="S9" s="1" t="s">
        <v>17</v>
      </c>
      <c r="T9" s="1" t="s">
        <v>17</v>
      </c>
      <c r="U9" s="1" t="s">
        <v>17</v>
      </c>
      <c r="V9" s="1" t="s">
        <v>17</v>
      </c>
      <c r="W9" s="1" t="s">
        <v>17</v>
      </c>
      <c r="X9" s="1" t="s">
        <v>17</v>
      </c>
      <c r="Y9" s="1" t="s">
        <v>17</v>
      </c>
      <c r="Z9" s="1" t="s">
        <v>17</v>
      </c>
      <c r="AA9" s="1" t="s">
        <v>17</v>
      </c>
      <c r="AB9" s="1" t="s">
        <v>17</v>
      </c>
      <c r="AC9" s="1" t="s">
        <v>17</v>
      </c>
      <c r="AD9" s="1" t="s">
        <v>17</v>
      </c>
    </row>
    <row r="10" spans="2:30">
      <c r="B10" s="3" t="s">
        <v>19</v>
      </c>
      <c r="C10" s="7">
        <f>SUM(D10:AD10)</f>
        <v>6939822</v>
      </c>
      <c r="D10" s="1">
        <v>5114506</v>
      </c>
      <c r="E10" s="1" t="s">
        <v>17</v>
      </c>
      <c r="F10" s="1">
        <v>617217</v>
      </c>
      <c r="G10" s="1">
        <f>[1]Ноябрь20!M35</f>
        <v>21256</v>
      </c>
      <c r="H10" s="1">
        <v>60565</v>
      </c>
      <c r="I10" s="1">
        <f>[1]Ноябрь20!F25+[1]Ноябрь20!H25</f>
        <v>26974</v>
      </c>
      <c r="J10" s="1">
        <f>[1]Ноябрь20!M76</f>
        <v>148501</v>
      </c>
      <c r="K10" s="1">
        <v>418233</v>
      </c>
      <c r="L10" s="1">
        <v>21077</v>
      </c>
      <c r="M10" s="1">
        <v>29537</v>
      </c>
      <c r="N10" s="1">
        <v>29972</v>
      </c>
      <c r="O10" s="1">
        <v>24802</v>
      </c>
      <c r="P10" s="1" t="s">
        <v>17</v>
      </c>
      <c r="Q10" s="1" t="s">
        <v>17</v>
      </c>
      <c r="R10" s="1">
        <v>10117</v>
      </c>
      <c r="S10" s="1">
        <v>57293</v>
      </c>
      <c r="T10" s="1">
        <v>39556</v>
      </c>
      <c r="U10" s="1">
        <v>37230</v>
      </c>
      <c r="V10" s="1">
        <v>14316</v>
      </c>
      <c r="W10" s="1" t="s">
        <v>17</v>
      </c>
      <c r="X10" s="1">
        <v>20528</v>
      </c>
      <c r="Y10" s="1">
        <v>18079</v>
      </c>
      <c r="Z10" s="1" t="s">
        <v>17</v>
      </c>
      <c r="AA10" s="1">
        <v>8208</v>
      </c>
      <c r="AB10" s="1">
        <v>50077</v>
      </c>
      <c r="AC10" s="1" t="s">
        <v>17</v>
      </c>
      <c r="AD10" s="1">
        <v>171778</v>
      </c>
    </row>
    <row r="11" spans="2:30">
      <c r="B11" s="3" t="s">
        <v>20</v>
      </c>
      <c r="C11" s="7">
        <f t="shared" si="2"/>
        <v>288241</v>
      </c>
      <c r="D11" s="1">
        <v>183948</v>
      </c>
      <c r="E11" s="1" t="s">
        <v>17</v>
      </c>
      <c r="F11" s="1">
        <v>9473</v>
      </c>
      <c r="G11" s="1" t="s">
        <v>17</v>
      </c>
      <c r="H11" s="1">
        <v>4378</v>
      </c>
      <c r="I11" s="1" t="s">
        <v>17</v>
      </c>
      <c r="J11" s="1" t="s">
        <v>17</v>
      </c>
      <c r="K11" s="1">
        <v>31085</v>
      </c>
      <c r="L11" s="1" t="s">
        <v>17</v>
      </c>
      <c r="M11" s="1">
        <v>8396</v>
      </c>
      <c r="N11" s="1" t="s">
        <v>17</v>
      </c>
      <c r="O11" s="1" t="s">
        <v>17</v>
      </c>
      <c r="P11" s="1" t="s">
        <v>17</v>
      </c>
      <c r="Q11" s="1" t="s">
        <v>17</v>
      </c>
      <c r="R11" s="1" t="s">
        <v>17</v>
      </c>
      <c r="S11" s="1">
        <v>6696</v>
      </c>
      <c r="T11" s="1" t="s">
        <v>17</v>
      </c>
      <c r="U11" s="1" t="s">
        <v>17</v>
      </c>
      <c r="V11" s="1" t="s">
        <v>17</v>
      </c>
      <c r="W11" s="1">
        <v>12519</v>
      </c>
      <c r="X11" s="1" t="s">
        <v>17</v>
      </c>
      <c r="Y11" s="1" t="s">
        <v>17</v>
      </c>
      <c r="Z11" s="1">
        <v>21817</v>
      </c>
      <c r="AA11" s="1" t="s">
        <v>17</v>
      </c>
      <c r="AB11" s="1" t="s">
        <v>17</v>
      </c>
      <c r="AC11" s="1">
        <v>9929</v>
      </c>
      <c r="AD11" s="1" t="s">
        <v>17</v>
      </c>
    </row>
    <row r="15" spans="2:30">
      <c r="D15" s="47"/>
      <c r="K15" s="31"/>
    </row>
    <row r="16" spans="2:30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8" spans="4:11">
      <c r="D18" s="31"/>
      <c r="F18" s="31"/>
      <c r="G18" s="31"/>
      <c r="K18" s="31"/>
    </row>
  </sheetData>
  <mergeCells count="5">
    <mergeCell ref="Y1:AD1"/>
    <mergeCell ref="B3:AD3"/>
    <mergeCell ref="B4:AD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ECD9-A33A-4618-86D4-F00C4C52AE19}">
  <sheetPr>
    <pageSetUpPr fitToPage="1"/>
  </sheetPr>
  <dimension ref="B1:AD18"/>
  <sheetViews>
    <sheetView zoomScale="60" zoomScaleNormal="60" workbookViewId="0">
      <selection activeCell="C7" sqref="C7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5" width="22.28515625" style="8" customWidth="1"/>
    <col min="6" max="7" width="21.5703125" style="8" customWidth="1"/>
    <col min="8" max="8" width="23.7109375" style="8" customWidth="1"/>
    <col min="9" max="9" width="24.28515625" style="8" customWidth="1"/>
    <col min="10" max="11" width="23.85546875" style="8" customWidth="1"/>
    <col min="12" max="12" width="29.7109375" style="8" customWidth="1"/>
    <col min="13" max="13" width="22.140625" style="8" customWidth="1"/>
    <col min="14" max="26" width="22.7109375" style="8" customWidth="1"/>
    <col min="27" max="27" width="24.85546875" style="8" customWidth="1"/>
    <col min="28" max="28" width="24.42578125" style="8" customWidth="1"/>
    <col min="29" max="30" width="22.7109375" style="8" customWidth="1"/>
    <col min="31" max="16384" width="9.140625" style="8"/>
  </cols>
  <sheetData>
    <row r="1" spans="2:30">
      <c r="Y1" s="73" t="s">
        <v>0</v>
      </c>
      <c r="Z1" s="73"/>
      <c r="AA1" s="73"/>
      <c r="AB1" s="73"/>
      <c r="AC1" s="73"/>
      <c r="AD1" s="73"/>
    </row>
    <row r="3" spans="2:30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2:30" ht="24.75" customHeight="1">
      <c r="B4" s="70" t="s">
        <v>51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2:30" ht="78.75">
      <c r="B5" s="71" t="s">
        <v>3</v>
      </c>
      <c r="C5" s="71" t="s">
        <v>4</v>
      </c>
      <c r="D5" s="5" t="s">
        <v>46</v>
      </c>
      <c r="E5" s="5" t="s">
        <v>47</v>
      </c>
      <c r="F5" s="5" t="s">
        <v>37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24</v>
      </c>
      <c r="O5" s="5" t="s">
        <v>29</v>
      </c>
      <c r="P5" s="5" t="s">
        <v>22</v>
      </c>
      <c r="Q5" s="5" t="s">
        <v>41</v>
      </c>
      <c r="R5" s="5" t="s">
        <v>42</v>
      </c>
      <c r="S5" s="5" t="s">
        <v>25</v>
      </c>
      <c r="T5" s="5" t="s">
        <v>30</v>
      </c>
      <c r="U5" s="5" t="s">
        <v>26</v>
      </c>
      <c r="V5" s="5" t="s">
        <v>31</v>
      </c>
      <c r="W5" s="5" t="s">
        <v>32</v>
      </c>
      <c r="X5" s="5" t="s">
        <v>33</v>
      </c>
      <c r="Y5" s="5" t="s">
        <v>34</v>
      </c>
      <c r="Z5" s="5" t="s">
        <v>39</v>
      </c>
      <c r="AA5" s="5" t="s">
        <v>43</v>
      </c>
      <c r="AB5" s="5" t="s">
        <v>44</v>
      </c>
      <c r="AC5" s="5" t="s">
        <v>48</v>
      </c>
      <c r="AD5" s="5" t="s">
        <v>49</v>
      </c>
    </row>
    <row r="6" spans="2:30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  <c r="V6" s="5" t="s">
        <v>14</v>
      </c>
      <c r="W6" s="5" t="s">
        <v>14</v>
      </c>
      <c r="X6" s="5" t="s">
        <v>14</v>
      </c>
      <c r="Y6" s="5" t="s">
        <v>14</v>
      </c>
      <c r="Z6" s="5" t="s">
        <v>14</v>
      </c>
      <c r="AA6" s="5" t="s">
        <v>14</v>
      </c>
      <c r="AB6" s="5" t="s">
        <v>14</v>
      </c>
      <c r="AC6" s="5" t="s">
        <v>14</v>
      </c>
      <c r="AD6" s="5" t="s">
        <v>14</v>
      </c>
    </row>
    <row r="7" spans="2:30">
      <c r="B7" s="6" t="s">
        <v>15</v>
      </c>
      <c r="C7" s="7">
        <f>SUM(C8:C11)</f>
        <v>15977522.68</v>
      </c>
      <c r="D7" s="7">
        <f>SUM(D8:D11)</f>
        <v>12016445.68</v>
      </c>
      <c r="E7" s="7">
        <f>SUM(E8:E11)</f>
        <v>494073</v>
      </c>
      <c r="F7" s="7">
        <f>SUM(F8:F11)</f>
        <v>783548</v>
      </c>
      <c r="G7" s="7">
        <f>SUM(G8:G11)</f>
        <v>23877</v>
      </c>
      <c r="H7" s="7">
        <f t="shared" ref="H7:AD7" si="0">SUM(H8:H11)</f>
        <v>78727</v>
      </c>
      <c r="I7" s="7">
        <f t="shared" si="0"/>
        <v>36310</v>
      </c>
      <c r="J7" s="7">
        <f t="shared" si="0"/>
        <v>240049</v>
      </c>
      <c r="K7" s="7">
        <f t="shared" si="0"/>
        <v>577852</v>
      </c>
      <c r="L7" s="7">
        <f t="shared" si="0"/>
        <v>36438</v>
      </c>
      <c r="M7" s="7">
        <f t="shared" si="0"/>
        <v>54202</v>
      </c>
      <c r="N7" s="7">
        <f t="shared" si="0"/>
        <v>44732</v>
      </c>
      <c r="O7" s="7">
        <f t="shared" si="0"/>
        <v>33117</v>
      </c>
      <c r="P7" s="7">
        <f t="shared" si="0"/>
        <v>965185</v>
      </c>
      <c r="Q7" s="7">
        <f t="shared" si="0"/>
        <v>11220</v>
      </c>
      <c r="R7" s="7">
        <f t="shared" si="0"/>
        <v>13044</v>
      </c>
      <c r="S7" s="7">
        <f t="shared" si="0"/>
        <v>76056</v>
      </c>
      <c r="T7" s="7">
        <f t="shared" si="0"/>
        <v>46767</v>
      </c>
      <c r="U7" s="7">
        <f t="shared" si="0"/>
        <v>45904</v>
      </c>
      <c r="V7" s="7">
        <f t="shared" si="0"/>
        <v>13044</v>
      </c>
      <c r="W7" s="7">
        <f t="shared" si="0"/>
        <v>31997</v>
      </c>
      <c r="X7" s="7">
        <f t="shared" si="0"/>
        <v>22643</v>
      </c>
      <c r="Y7" s="7">
        <f t="shared" si="0"/>
        <v>23939</v>
      </c>
      <c r="Z7" s="7">
        <f>SUM(Z8:Z11)</f>
        <v>23188</v>
      </c>
      <c r="AA7" s="7">
        <f t="shared" si="0"/>
        <v>9635</v>
      </c>
      <c r="AB7" s="7">
        <f t="shared" si="0"/>
        <v>66488</v>
      </c>
      <c r="AC7" s="7">
        <f>SUM(AC8:AC11)</f>
        <v>12320</v>
      </c>
      <c r="AD7" s="7">
        <f t="shared" si="0"/>
        <v>196722</v>
      </c>
    </row>
    <row r="8" spans="2:30">
      <c r="B8" s="3" t="s">
        <v>16</v>
      </c>
      <c r="C8" s="7">
        <f>SUM(D8:AD8)</f>
        <v>6475299</v>
      </c>
      <c r="D8" s="1">
        <v>5970006</v>
      </c>
      <c r="E8" s="1">
        <v>494073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  <c r="Q8" s="1">
        <v>11220</v>
      </c>
      <c r="R8" s="1" t="s">
        <v>17</v>
      </c>
      <c r="S8" s="1" t="s">
        <v>17</v>
      </c>
      <c r="T8" s="1" t="s">
        <v>17</v>
      </c>
      <c r="U8" s="1" t="s">
        <v>17</v>
      </c>
      <c r="V8" s="1" t="s">
        <v>17</v>
      </c>
      <c r="W8" s="1" t="s">
        <v>17</v>
      </c>
      <c r="X8" s="1" t="s">
        <v>17</v>
      </c>
      <c r="Y8" s="1" t="s">
        <v>17</v>
      </c>
      <c r="Z8" s="1" t="s">
        <v>17</v>
      </c>
      <c r="AA8" s="1" t="s">
        <v>17</v>
      </c>
      <c r="AB8" s="1" t="s">
        <v>17</v>
      </c>
      <c r="AC8" s="1" t="s">
        <v>17</v>
      </c>
      <c r="AD8" s="1" t="s">
        <v>17</v>
      </c>
    </row>
    <row r="9" spans="2:30">
      <c r="B9" s="3" t="s">
        <v>18</v>
      </c>
      <c r="C9" s="7">
        <f t="shared" ref="C9:C11" si="1">SUM(D9:AD9)</f>
        <v>1506678.72</v>
      </c>
      <c r="D9" s="1">
        <v>541493.72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 t="s">
        <v>17</v>
      </c>
      <c r="P9" s="1">
        <v>965185</v>
      </c>
      <c r="Q9" s="1" t="s">
        <v>17</v>
      </c>
      <c r="R9" s="1" t="s">
        <v>17</v>
      </c>
      <c r="S9" s="1" t="s">
        <v>17</v>
      </c>
      <c r="T9" s="1" t="s">
        <v>17</v>
      </c>
      <c r="U9" s="1" t="s">
        <v>17</v>
      </c>
      <c r="V9" s="1" t="s">
        <v>17</v>
      </c>
      <c r="W9" s="1" t="s">
        <v>17</v>
      </c>
      <c r="X9" s="1" t="s">
        <v>17</v>
      </c>
      <c r="Y9" s="1" t="s">
        <v>17</v>
      </c>
      <c r="Z9" s="1" t="s">
        <v>17</v>
      </c>
      <c r="AA9" s="1" t="s">
        <v>17</v>
      </c>
      <c r="AB9" s="1" t="s">
        <v>17</v>
      </c>
      <c r="AC9" s="1" t="s">
        <v>17</v>
      </c>
      <c r="AD9" s="1" t="s">
        <v>17</v>
      </c>
    </row>
    <row r="10" spans="2:30">
      <c r="B10" s="3" t="s">
        <v>19</v>
      </c>
      <c r="C10" s="7">
        <f>SUM(D10:AD10)</f>
        <v>7645575.0700000003</v>
      </c>
      <c r="D10" s="1">
        <v>5352773.07</v>
      </c>
      <c r="E10" s="1" t="s">
        <v>17</v>
      </c>
      <c r="F10" s="1">
        <v>768924</v>
      </c>
      <c r="G10" s="1">
        <v>23877</v>
      </c>
      <c r="H10" s="1">
        <v>72161</v>
      </c>
      <c r="I10" s="1">
        <v>36310</v>
      </c>
      <c r="J10" s="2">
        <v>240049</v>
      </c>
      <c r="K10" s="1">
        <v>471911</v>
      </c>
      <c r="L10" s="4">
        <v>36438</v>
      </c>
      <c r="M10" s="4">
        <v>42298</v>
      </c>
      <c r="N10" s="4">
        <v>44732</v>
      </c>
      <c r="O10" s="4">
        <v>33117</v>
      </c>
      <c r="P10" s="4" t="s">
        <v>17</v>
      </c>
      <c r="Q10" s="1" t="s">
        <v>17</v>
      </c>
      <c r="R10" s="1">
        <v>13044</v>
      </c>
      <c r="S10" s="1">
        <v>67562</v>
      </c>
      <c r="T10" s="1">
        <v>46767</v>
      </c>
      <c r="U10" s="1">
        <v>45904</v>
      </c>
      <c r="V10" s="1">
        <v>13044</v>
      </c>
      <c r="W10" s="1">
        <v>17237</v>
      </c>
      <c r="X10" s="1">
        <v>22643</v>
      </c>
      <c r="Y10" s="1">
        <v>23939</v>
      </c>
      <c r="Z10" s="1" t="s">
        <v>17</v>
      </c>
      <c r="AA10" s="1">
        <v>9635</v>
      </c>
      <c r="AB10" s="1">
        <v>66488</v>
      </c>
      <c r="AC10" s="1" t="s">
        <v>17</v>
      </c>
      <c r="AD10" s="1">
        <v>196722</v>
      </c>
    </row>
    <row r="11" spans="2:30">
      <c r="B11" s="3" t="s">
        <v>20</v>
      </c>
      <c r="C11" s="7">
        <f t="shared" si="1"/>
        <v>349969.89</v>
      </c>
      <c r="D11" s="1">
        <v>152172.89000000001</v>
      </c>
      <c r="E11" s="1" t="s">
        <v>17</v>
      </c>
      <c r="F11" s="1">
        <v>14624</v>
      </c>
      <c r="G11" s="1" t="s">
        <v>17</v>
      </c>
      <c r="H11" s="1">
        <v>6566</v>
      </c>
      <c r="I11" s="1" t="s">
        <v>17</v>
      </c>
      <c r="J11" s="1" t="s">
        <v>17</v>
      </c>
      <c r="K11" s="1">
        <v>105941</v>
      </c>
      <c r="L11" s="3" t="s">
        <v>17</v>
      </c>
      <c r="M11" s="4">
        <v>11904</v>
      </c>
      <c r="N11" s="1" t="s">
        <v>17</v>
      </c>
      <c r="O11" s="4" t="s">
        <v>17</v>
      </c>
      <c r="P11" s="4" t="s">
        <v>17</v>
      </c>
      <c r="Q11" s="1" t="s">
        <v>17</v>
      </c>
      <c r="R11" s="1" t="s">
        <v>17</v>
      </c>
      <c r="S11" s="1">
        <v>8494</v>
      </c>
      <c r="T11" s="1" t="s">
        <v>17</v>
      </c>
      <c r="U11" s="1" t="s">
        <v>17</v>
      </c>
      <c r="V11" s="1" t="s">
        <v>17</v>
      </c>
      <c r="W11" s="1">
        <v>14760</v>
      </c>
      <c r="X11" s="1" t="s">
        <v>17</v>
      </c>
      <c r="Y11" s="1" t="s">
        <v>17</v>
      </c>
      <c r="Z11" s="1">
        <v>23188</v>
      </c>
      <c r="AA11" s="1" t="s">
        <v>17</v>
      </c>
      <c r="AB11" s="1" t="s">
        <v>17</v>
      </c>
      <c r="AC11" s="1">
        <f>[1]Декабрь20!F119+[1]Декабрь20!H119</f>
        <v>12320</v>
      </c>
      <c r="AD11" s="1" t="s">
        <v>17</v>
      </c>
    </row>
    <row r="16" spans="2:30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8" spans="6:11">
      <c r="F18" s="31"/>
      <c r="G18" s="31"/>
      <c r="K18" s="31"/>
    </row>
  </sheetData>
  <mergeCells count="5">
    <mergeCell ref="B3:AD3"/>
    <mergeCell ref="B4:AD4"/>
    <mergeCell ref="B5:B6"/>
    <mergeCell ref="C5:C6"/>
    <mergeCell ref="Y1:AD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C12" sqref="C12"/>
    </sheetView>
  </sheetViews>
  <sheetFormatPr defaultRowHeight="15.75"/>
  <cols>
    <col min="1" max="16384" width="9.140625" style="11"/>
  </cols>
  <sheetData>
    <row r="1" spans="1:8" ht="15" customHeight="1">
      <c r="E1" s="75" t="s">
        <v>52</v>
      </c>
      <c r="F1" s="75"/>
      <c r="G1" s="75"/>
      <c r="H1" s="75"/>
    </row>
    <row r="2" spans="1:8" ht="45.75" customHeight="1">
      <c r="E2" s="75"/>
      <c r="F2" s="75"/>
      <c r="G2" s="75"/>
      <c r="H2" s="75"/>
    </row>
    <row r="4" spans="1:8" s="15" customFormat="1" ht="30" customHeight="1">
      <c r="A4" s="74" t="s">
        <v>53</v>
      </c>
      <c r="B4" s="74"/>
      <c r="C4" s="74"/>
      <c r="D4" s="74"/>
      <c r="E4" s="74"/>
      <c r="F4" s="74"/>
      <c r="G4" s="74"/>
      <c r="H4" s="74"/>
    </row>
    <row r="7" spans="1:8" ht="54" customHeight="1">
      <c r="A7" s="75" t="s">
        <v>54</v>
      </c>
      <c r="B7" s="75"/>
      <c r="C7" s="75"/>
      <c r="D7" s="75"/>
      <c r="E7" s="75"/>
      <c r="F7" s="75"/>
      <c r="G7" s="75"/>
      <c r="H7" s="75"/>
    </row>
  </sheetData>
  <mergeCells count="3">
    <mergeCell ref="A4:H4"/>
    <mergeCell ref="A7:H7"/>
    <mergeCell ref="E1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BCB5-6DEE-4A6E-818F-14C9654CF04D}">
  <sheetPr>
    <pageSetUpPr fitToPage="1"/>
  </sheetPr>
  <dimension ref="A1:J57"/>
  <sheetViews>
    <sheetView topLeftCell="A31" zoomScale="87" zoomScaleNormal="87" workbookViewId="0">
      <selection activeCell="E12" sqref="E12"/>
    </sheetView>
  </sheetViews>
  <sheetFormatPr defaultRowHeight="15.75"/>
  <cols>
    <col min="1" max="1" width="9.140625" style="11"/>
    <col min="2" max="2" width="52.57031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43831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63</v>
      </c>
      <c r="C8" s="21"/>
      <c r="D8" s="22"/>
    </row>
    <row r="9" spans="1:10">
      <c r="A9" s="67"/>
      <c r="B9" s="17" t="s">
        <v>64</v>
      </c>
      <c r="C9" s="32">
        <v>1049835</v>
      </c>
      <c r="D9" s="19">
        <v>3.3817769935275543</v>
      </c>
      <c r="F9" s="35"/>
      <c r="G9" s="23"/>
    </row>
    <row r="10" spans="1:10">
      <c r="A10" s="67"/>
      <c r="B10" s="17" t="s">
        <v>65</v>
      </c>
      <c r="C10" s="43">
        <f>396+760+182+3+6+64+119+3+7+15+49</f>
        <v>1604</v>
      </c>
      <c r="D10" s="44">
        <v>832.42786999999998</v>
      </c>
      <c r="E10" s="24"/>
    </row>
    <row r="11" spans="1:10" s="15" customFormat="1">
      <c r="A11" s="67">
        <v>2</v>
      </c>
      <c r="B11" s="13" t="s">
        <v>66</v>
      </c>
      <c r="C11" s="21"/>
      <c r="D11" s="22"/>
    </row>
    <row r="12" spans="1:10">
      <c r="A12" s="67"/>
      <c r="B12" s="25" t="s">
        <v>64</v>
      </c>
      <c r="C12" s="32">
        <v>225746</v>
      </c>
      <c r="D12" s="19">
        <v>2.6654654272205636</v>
      </c>
    </row>
    <row r="13" spans="1:10">
      <c r="A13" s="67"/>
      <c r="B13" s="56" t="s">
        <v>65</v>
      </c>
      <c r="C13" s="11">
        <v>236</v>
      </c>
      <c r="D13" s="57">
        <v>810.25521000000003</v>
      </c>
    </row>
    <row r="14" spans="1:10">
      <c r="A14" s="67">
        <v>3</v>
      </c>
      <c r="B14" s="13" t="s">
        <v>67</v>
      </c>
      <c r="C14" s="60"/>
      <c r="D14" s="19"/>
    </row>
    <row r="15" spans="1:10">
      <c r="A15" s="67"/>
      <c r="B15" s="25" t="s">
        <v>64</v>
      </c>
      <c r="C15" s="32">
        <v>49370</v>
      </c>
      <c r="D15" s="19">
        <v>2.3179744784281948</v>
      </c>
    </row>
    <row r="16" spans="1:10">
      <c r="A16" s="67"/>
      <c r="B16" s="58" t="s">
        <v>65</v>
      </c>
      <c r="C16" s="11">
        <v>66</v>
      </c>
      <c r="D16" s="59">
        <v>810.18453999999997</v>
      </c>
    </row>
    <row r="17" spans="1:4">
      <c r="A17" s="67">
        <v>4</v>
      </c>
      <c r="B17" s="13" t="s">
        <v>68</v>
      </c>
      <c r="C17" s="21"/>
      <c r="D17" s="22"/>
    </row>
    <row r="18" spans="1:4">
      <c r="A18" s="67"/>
      <c r="B18" s="25" t="s">
        <v>64</v>
      </c>
      <c r="C18" s="32">
        <v>55968.983999999997</v>
      </c>
      <c r="D18" s="19">
        <v>2.6247379560555664</v>
      </c>
    </row>
    <row r="19" spans="1:4">
      <c r="A19" s="67"/>
      <c r="B19" s="25" t="s">
        <v>65</v>
      </c>
      <c r="C19" s="32">
        <v>69.978999999999999</v>
      </c>
      <c r="D19" s="19">
        <v>812.27855999999997</v>
      </c>
    </row>
    <row r="20" spans="1:4">
      <c r="A20" s="67">
        <v>5</v>
      </c>
      <c r="B20" s="13" t="s">
        <v>69</v>
      </c>
      <c r="C20" s="32"/>
      <c r="D20" s="19"/>
    </row>
    <row r="21" spans="1:4">
      <c r="A21" s="67"/>
      <c r="B21" s="25" t="s">
        <v>64</v>
      </c>
      <c r="C21" s="32">
        <v>109599</v>
      </c>
      <c r="D21" s="19">
        <v>2.5931402202574843</v>
      </c>
    </row>
    <row r="22" spans="1:4">
      <c r="A22" s="67"/>
      <c r="B22" s="25" t="s">
        <v>65</v>
      </c>
      <c r="C22" s="32">
        <v>133</v>
      </c>
      <c r="D22" s="19">
        <v>809.50205000000005</v>
      </c>
    </row>
    <row r="23" spans="1:4">
      <c r="A23" s="67">
        <v>6</v>
      </c>
      <c r="B23" s="13" t="s">
        <v>70</v>
      </c>
      <c r="C23" s="32"/>
      <c r="D23" s="19"/>
    </row>
    <row r="24" spans="1:4">
      <c r="A24" s="67"/>
      <c r="B24" s="25" t="s">
        <v>64</v>
      </c>
      <c r="C24" s="32">
        <v>73062</v>
      </c>
      <c r="D24" s="19">
        <v>2.6278143905176425</v>
      </c>
    </row>
    <row r="25" spans="1:4">
      <c r="A25" s="67"/>
      <c r="B25" s="25" t="s">
        <v>65</v>
      </c>
      <c r="C25" s="32">
        <v>105</v>
      </c>
      <c r="D25" s="19">
        <v>858.70802000000003</v>
      </c>
    </row>
    <row r="26" spans="1:4">
      <c r="A26" s="67">
        <v>7</v>
      </c>
      <c r="B26" s="13" t="s">
        <v>71</v>
      </c>
      <c r="C26" s="32"/>
      <c r="D26" s="19"/>
    </row>
    <row r="27" spans="1:4">
      <c r="A27" s="67"/>
      <c r="B27" s="25" t="s">
        <v>64</v>
      </c>
      <c r="C27" s="32">
        <v>33994.637000000002</v>
      </c>
      <c r="D27" s="19">
        <v>2.6784832756610011</v>
      </c>
    </row>
    <row r="28" spans="1:4">
      <c r="A28" s="67"/>
      <c r="B28" s="25" t="s">
        <v>65</v>
      </c>
      <c r="C28" s="32">
        <v>0</v>
      </c>
      <c r="D28" s="19">
        <v>0</v>
      </c>
    </row>
    <row r="29" spans="1:4">
      <c r="A29" s="67">
        <v>8</v>
      </c>
      <c r="B29" s="13" t="s">
        <v>72</v>
      </c>
      <c r="C29" s="18"/>
      <c r="D29" s="19"/>
    </row>
    <row r="30" spans="1:4">
      <c r="A30" s="67"/>
      <c r="B30" s="25" t="s">
        <v>64</v>
      </c>
      <c r="C30" s="32">
        <v>16032</v>
      </c>
      <c r="D30" s="19">
        <v>2.9794000540585497</v>
      </c>
    </row>
    <row r="31" spans="1:4">
      <c r="A31" s="67"/>
      <c r="B31" s="25" t="s">
        <v>65</v>
      </c>
      <c r="C31" s="32">
        <v>0</v>
      </c>
      <c r="D31" s="19">
        <v>0</v>
      </c>
    </row>
    <row r="32" spans="1:4">
      <c r="A32" s="67">
        <v>10</v>
      </c>
      <c r="B32" s="13" t="s">
        <v>73</v>
      </c>
      <c r="C32" s="18"/>
      <c r="D32" s="26"/>
    </row>
    <row r="33" spans="1:4">
      <c r="A33" s="45"/>
      <c r="B33" s="25" t="s">
        <v>64</v>
      </c>
      <c r="C33" s="18"/>
      <c r="D33" s="19"/>
    </row>
    <row r="34" spans="1:4">
      <c r="A34" s="45"/>
      <c r="B34" s="25" t="s">
        <v>65</v>
      </c>
      <c r="C34" s="18"/>
      <c r="D34" s="26"/>
    </row>
    <row r="35" spans="1:4" s="15" customFormat="1">
      <c r="A35" s="67">
        <v>11</v>
      </c>
      <c r="B35" s="13" t="s">
        <v>74</v>
      </c>
      <c r="C35" s="21"/>
      <c r="D35" s="22"/>
    </row>
    <row r="36" spans="1:4">
      <c r="A36" s="45"/>
      <c r="B36" s="17" t="s">
        <v>64</v>
      </c>
      <c r="C36" s="32">
        <v>2343131</v>
      </c>
      <c r="D36" s="44">
        <v>3.504902219153204</v>
      </c>
    </row>
    <row r="37" spans="1:4">
      <c r="A37" s="45"/>
      <c r="B37" s="17" t="s">
        <v>65</v>
      </c>
      <c r="C37" s="32">
        <v>0</v>
      </c>
      <c r="D37" s="19">
        <v>0</v>
      </c>
    </row>
    <row r="38" spans="1:4">
      <c r="A38" s="67">
        <v>14</v>
      </c>
      <c r="B38" s="13" t="s">
        <v>75</v>
      </c>
      <c r="C38" s="18"/>
      <c r="D38" s="19"/>
    </row>
    <row r="39" spans="1:4">
      <c r="A39" s="45"/>
      <c r="B39" s="25" t="s">
        <v>64</v>
      </c>
      <c r="C39" s="18">
        <v>0</v>
      </c>
      <c r="D39" s="19">
        <v>0</v>
      </c>
    </row>
    <row r="40" spans="1:4">
      <c r="A40" s="45"/>
      <c r="B40" s="25" t="s">
        <v>65</v>
      </c>
      <c r="C40" s="18">
        <v>0</v>
      </c>
      <c r="D40" s="19">
        <v>0</v>
      </c>
    </row>
    <row r="41" spans="1:4">
      <c r="A41" s="76" t="s">
        <v>76</v>
      </c>
      <c r="B41" s="76"/>
      <c r="C41" s="33">
        <f>C9+C12+C18+C21+C24+C27+C30+C36+C39+C15</f>
        <v>3956738.6210000003</v>
      </c>
      <c r="D41" s="64"/>
    </row>
    <row r="42" spans="1:4">
      <c r="A42" s="76" t="s">
        <v>77</v>
      </c>
      <c r="B42" s="76"/>
      <c r="C42" s="33">
        <f>C10+C19+C22+C25+C28+C31+C37+C40+C13+C16</f>
        <v>2213.9790000000003</v>
      </c>
      <c r="D42" s="64"/>
    </row>
    <row r="45" spans="1:4">
      <c r="C45" s="35"/>
    </row>
    <row r="46" spans="1:4">
      <c r="C46" s="47"/>
    </row>
    <row r="47" spans="1:4">
      <c r="C47" s="48"/>
    </row>
    <row r="48" spans="1:4">
      <c r="C48" s="48"/>
    </row>
    <row r="49" spans="3:3">
      <c r="C49" s="47"/>
    </row>
    <row r="50" spans="3:3">
      <c r="C50" s="48"/>
    </row>
    <row r="57" spans="3:3">
      <c r="C57" s="48"/>
    </row>
  </sheetData>
  <mergeCells count="8">
    <mergeCell ref="A41:B41"/>
    <mergeCell ref="A42:B42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6F565-9AFD-48F5-83D2-DB54BC29301C}">
  <sheetPr>
    <pageSetUpPr fitToPage="1"/>
  </sheetPr>
  <dimension ref="A1:J60"/>
  <sheetViews>
    <sheetView topLeftCell="A34" zoomScale="87" zoomScaleNormal="87" workbookViewId="0">
      <selection activeCell="C15" sqref="C15"/>
    </sheetView>
  </sheetViews>
  <sheetFormatPr defaultRowHeight="15.75"/>
  <cols>
    <col min="1" max="1" width="9.140625" style="11"/>
    <col min="2" max="2" width="52.57031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43862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63</v>
      </c>
      <c r="C8" s="21"/>
      <c r="D8" s="22"/>
    </row>
    <row r="9" spans="1:10">
      <c r="A9" s="67"/>
      <c r="B9" s="17" t="s">
        <v>64</v>
      </c>
      <c r="C9" s="32">
        <v>1265298</v>
      </c>
      <c r="D9" s="19">
        <v>3.3954093686493887</v>
      </c>
      <c r="F9" s="35"/>
      <c r="G9" s="23"/>
    </row>
    <row r="10" spans="1:10">
      <c r="A10" s="67"/>
      <c r="B10" s="17" t="s">
        <v>65</v>
      </c>
      <c r="C10" s="43">
        <v>1887</v>
      </c>
      <c r="D10" s="44">
        <v>891.59987999999998</v>
      </c>
      <c r="E10" s="24"/>
    </row>
    <row r="11" spans="1:10" s="15" customFormat="1">
      <c r="A11" s="67">
        <v>2</v>
      </c>
      <c r="B11" s="13" t="s">
        <v>66</v>
      </c>
      <c r="C11" s="21"/>
      <c r="D11" s="22"/>
    </row>
    <row r="12" spans="1:10">
      <c r="A12" s="67"/>
      <c r="B12" s="25" t="s">
        <v>64</v>
      </c>
      <c r="C12" s="32">
        <v>399076.28</v>
      </c>
      <c r="D12" s="19">
        <v>2.5643363845127549</v>
      </c>
    </row>
    <row r="13" spans="1:10">
      <c r="A13" s="67"/>
      <c r="B13" s="56" t="s">
        <v>65</v>
      </c>
      <c r="C13" s="11">
        <f>140+84+53+9+37+8+47+95</f>
        <v>473</v>
      </c>
      <c r="D13" s="57">
        <v>866.39025000000004</v>
      </c>
    </row>
    <row r="14" spans="1:10">
      <c r="A14" s="67">
        <v>3</v>
      </c>
      <c r="B14" s="13" t="s">
        <v>67</v>
      </c>
      <c r="C14" s="60"/>
      <c r="D14" s="19"/>
    </row>
    <row r="15" spans="1:10">
      <c r="A15" s="67"/>
      <c r="B15" s="25" t="s">
        <v>64</v>
      </c>
      <c r="C15" s="32">
        <v>9268</v>
      </c>
      <c r="D15" s="19">
        <v>2.621217270896274</v>
      </c>
    </row>
    <row r="16" spans="1:10">
      <c r="A16" s="67"/>
      <c r="B16" s="58" t="s">
        <v>65</v>
      </c>
      <c r="C16" s="11">
        <v>14</v>
      </c>
      <c r="D16" s="59">
        <v>867.10596999999996</v>
      </c>
    </row>
    <row r="17" spans="1:4">
      <c r="A17" s="67">
        <v>4</v>
      </c>
      <c r="B17" s="13" t="s">
        <v>68</v>
      </c>
      <c r="C17" s="21"/>
      <c r="D17" s="22"/>
    </row>
    <row r="18" spans="1:4">
      <c r="A18" s="67"/>
      <c r="B18" s="25" t="s">
        <v>64</v>
      </c>
      <c r="C18" s="32">
        <v>51855.142999999996</v>
      </c>
      <c r="D18" s="19">
        <v>2.7909071944255688</v>
      </c>
    </row>
    <row r="19" spans="1:4">
      <c r="A19" s="67"/>
      <c r="B19" s="25" t="s">
        <v>65</v>
      </c>
      <c r="C19" s="32">
        <f>39.92+26.223</f>
        <v>66.143000000000001</v>
      </c>
      <c r="D19" s="19">
        <v>868.51953000000003</v>
      </c>
    </row>
    <row r="20" spans="1:4">
      <c r="A20" s="67">
        <v>5</v>
      </c>
      <c r="B20" s="13" t="s">
        <v>69</v>
      </c>
      <c r="C20" s="32"/>
      <c r="D20" s="19"/>
    </row>
    <row r="21" spans="1:4">
      <c r="A21" s="67"/>
      <c r="B21" s="25" t="s">
        <v>64</v>
      </c>
      <c r="C21" s="32">
        <v>96359</v>
      </c>
      <c r="D21" s="19">
        <v>2.7510051820103296</v>
      </c>
    </row>
    <row r="22" spans="1:4">
      <c r="A22" s="67"/>
      <c r="B22" s="25" t="s">
        <v>65</v>
      </c>
      <c r="C22" s="32">
        <v>126</v>
      </c>
      <c r="D22" s="19">
        <v>865.24878999999999</v>
      </c>
    </row>
    <row r="23" spans="1:4">
      <c r="A23" s="67">
        <v>6</v>
      </c>
      <c r="B23" s="13" t="s">
        <v>70</v>
      </c>
      <c r="C23" s="32"/>
      <c r="D23" s="19"/>
    </row>
    <row r="24" spans="1:4">
      <c r="A24" s="67"/>
      <c r="B24" s="25" t="s">
        <v>64</v>
      </c>
      <c r="C24" s="32">
        <v>71164</v>
      </c>
      <c r="D24" s="19">
        <v>2.81778310194293</v>
      </c>
    </row>
    <row r="25" spans="1:4">
      <c r="A25" s="67"/>
      <c r="B25" s="25" t="s">
        <v>65</v>
      </c>
      <c r="C25" s="32">
        <f>84+22</f>
        <v>106</v>
      </c>
      <c r="D25" s="19">
        <v>916.64315999999997</v>
      </c>
    </row>
    <row r="26" spans="1:4">
      <c r="A26" s="67">
        <v>7</v>
      </c>
      <c r="B26" s="13" t="s">
        <v>71</v>
      </c>
      <c r="C26" s="32"/>
      <c r="D26" s="19"/>
    </row>
    <row r="27" spans="1:4">
      <c r="A27" s="67"/>
      <c r="B27" s="25" t="s">
        <v>64</v>
      </c>
      <c r="C27" s="32">
        <v>14867.495000000001</v>
      </c>
      <c r="D27" s="19">
        <v>2.9120675675357548</v>
      </c>
    </row>
    <row r="28" spans="1:4">
      <c r="A28" s="67"/>
      <c r="B28" s="25" t="s">
        <v>65</v>
      </c>
      <c r="C28" s="32">
        <v>0</v>
      </c>
      <c r="D28" s="19">
        <v>0</v>
      </c>
    </row>
    <row r="29" spans="1:4">
      <c r="A29" s="67">
        <v>8</v>
      </c>
      <c r="B29" s="13" t="s">
        <v>72</v>
      </c>
      <c r="C29" s="18"/>
      <c r="D29" s="19"/>
    </row>
    <row r="30" spans="1:4">
      <c r="A30" s="67"/>
      <c r="B30" s="25" t="s">
        <v>64</v>
      </c>
      <c r="C30" s="32">
        <v>18668</v>
      </c>
      <c r="D30" s="19">
        <v>3.2742799621455609</v>
      </c>
    </row>
    <row r="31" spans="1:4">
      <c r="A31" s="67"/>
      <c r="B31" s="25" t="s">
        <v>65</v>
      </c>
      <c r="C31" s="32">
        <v>0</v>
      </c>
      <c r="D31" s="19">
        <v>0</v>
      </c>
    </row>
    <row r="32" spans="1:4">
      <c r="A32" s="67">
        <v>9</v>
      </c>
      <c r="B32" s="13" t="s">
        <v>78</v>
      </c>
      <c r="C32" s="32"/>
      <c r="D32" s="19"/>
    </row>
    <row r="33" spans="1:4">
      <c r="A33" s="67"/>
      <c r="B33" s="25" t="s">
        <v>64</v>
      </c>
      <c r="C33" s="32">
        <v>713212</v>
      </c>
      <c r="D33" s="19">
        <v>2.9949142868226182</v>
      </c>
    </row>
    <row r="34" spans="1:4">
      <c r="A34" s="67"/>
      <c r="B34" s="25" t="s">
        <v>65</v>
      </c>
      <c r="C34" s="32">
        <v>1271.6089999999999</v>
      </c>
      <c r="D34" s="19">
        <v>867.33190999999999</v>
      </c>
    </row>
    <row r="35" spans="1:4">
      <c r="A35" s="67">
        <v>10</v>
      </c>
      <c r="B35" s="13" t="s">
        <v>73</v>
      </c>
      <c r="C35" s="18"/>
      <c r="D35" s="26"/>
    </row>
    <row r="36" spans="1:4">
      <c r="A36" s="45"/>
      <c r="B36" s="25" t="s">
        <v>64</v>
      </c>
      <c r="C36" s="18"/>
      <c r="D36" s="19"/>
    </row>
    <row r="37" spans="1:4">
      <c r="A37" s="45"/>
      <c r="B37" s="25" t="s">
        <v>65</v>
      </c>
      <c r="C37" s="18"/>
      <c r="D37" s="26"/>
    </row>
    <row r="38" spans="1:4" s="15" customFormat="1">
      <c r="A38" s="67">
        <v>11</v>
      </c>
      <c r="B38" s="13" t="s">
        <v>74</v>
      </c>
      <c r="C38" s="21"/>
      <c r="D38" s="22"/>
    </row>
    <row r="39" spans="1:4">
      <c r="A39" s="45"/>
      <c r="B39" s="17" t="s">
        <v>64</v>
      </c>
      <c r="C39" s="32">
        <v>2331367</v>
      </c>
      <c r="D39" s="44">
        <v>3.5724421087141867</v>
      </c>
    </row>
    <row r="40" spans="1:4">
      <c r="A40" s="45"/>
      <c r="B40" s="17" t="s">
        <v>65</v>
      </c>
      <c r="C40" s="32">
        <v>0</v>
      </c>
      <c r="D40" s="19">
        <v>0</v>
      </c>
    </row>
    <row r="41" spans="1:4">
      <c r="A41" s="67">
        <v>14</v>
      </c>
      <c r="B41" s="13" t="s">
        <v>75</v>
      </c>
      <c r="C41" s="18"/>
      <c r="D41" s="19"/>
    </row>
    <row r="42" spans="1:4">
      <c r="A42" s="45"/>
      <c r="B42" s="25" t="s">
        <v>64</v>
      </c>
      <c r="C42" s="18">
        <v>0</v>
      </c>
      <c r="D42" s="19">
        <v>0</v>
      </c>
    </row>
    <row r="43" spans="1:4">
      <c r="A43" s="45"/>
      <c r="B43" s="25" t="s">
        <v>65</v>
      </c>
      <c r="C43" s="18">
        <v>0</v>
      </c>
      <c r="D43" s="19">
        <v>0</v>
      </c>
    </row>
    <row r="44" spans="1:4">
      <c r="A44" s="76" t="s">
        <v>76</v>
      </c>
      <c r="B44" s="76"/>
      <c r="C44" s="33">
        <f>C9+C12+C18+C21+C24+C27+C30+C33+C39+C42+C15</f>
        <v>4971134.9179999996</v>
      </c>
      <c r="D44" s="64"/>
    </row>
    <row r="45" spans="1:4">
      <c r="A45" s="76" t="s">
        <v>77</v>
      </c>
      <c r="B45" s="76"/>
      <c r="C45" s="33">
        <f>C10+C19+C22+C25+C28+C31+C34+C40+C43+C13+C16</f>
        <v>3943.752</v>
      </c>
      <c r="D45" s="64"/>
    </row>
    <row r="48" spans="1:4">
      <c r="C48" s="35"/>
    </row>
    <row r="49" spans="3:3">
      <c r="C49" s="47"/>
    </row>
    <row r="50" spans="3:3">
      <c r="C50" s="48"/>
    </row>
    <row r="51" spans="3:3">
      <c r="C51" s="48"/>
    </row>
    <row r="52" spans="3:3">
      <c r="C52" s="47"/>
    </row>
    <row r="53" spans="3:3">
      <c r="C53" s="48"/>
    </row>
    <row r="60" spans="3:3">
      <c r="C60" s="48"/>
    </row>
  </sheetData>
  <mergeCells count="8">
    <mergeCell ref="A44:B44"/>
    <mergeCell ref="A45:B45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B95CA-9512-454A-A440-93D9635EA679}">
  <sheetPr>
    <pageSetUpPr fitToPage="1"/>
  </sheetPr>
  <dimension ref="A1:J66"/>
  <sheetViews>
    <sheetView topLeftCell="A22" zoomScale="87" zoomScaleNormal="87" workbookViewId="0">
      <selection activeCell="B25" sqref="B25"/>
    </sheetView>
  </sheetViews>
  <sheetFormatPr defaultRowHeight="15.75"/>
  <cols>
    <col min="1" max="1" width="9.140625" style="11"/>
    <col min="2" max="2" width="52.57031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43891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63</v>
      </c>
      <c r="C8" s="21"/>
      <c r="D8" s="22"/>
    </row>
    <row r="9" spans="1:10">
      <c r="A9" s="67"/>
      <c r="B9" s="17" t="s">
        <v>64</v>
      </c>
      <c r="C9" s="32">
        <v>1559811</v>
      </c>
      <c r="D9" s="19">
        <v>3.2172978809612194</v>
      </c>
      <c r="F9" s="35"/>
      <c r="G9" s="23"/>
    </row>
    <row r="10" spans="1:10">
      <c r="A10" s="67"/>
      <c r="B10" s="17" t="s">
        <v>65</v>
      </c>
      <c r="C10" s="43">
        <v>2172</v>
      </c>
      <c r="D10" s="44">
        <v>912.65912000000003</v>
      </c>
      <c r="E10" s="24"/>
    </row>
    <row r="11" spans="1:10" s="15" customFormat="1">
      <c r="A11" s="67">
        <v>2</v>
      </c>
      <c r="B11" s="13" t="s">
        <v>66</v>
      </c>
      <c r="C11" s="21"/>
      <c r="D11" s="22"/>
    </row>
    <row r="12" spans="1:10">
      <c r="A12" s="67"/>
      <c r="B12" s="25" t="s">
        <v>64</v>
      </c>
      <c r="C12" s="32">
        <v>271135</v>
      </c>
      <c r="D12" s="19">
        <v>2.6408008310743112</v>
      </c>
    </row>
    <row r="13" spans="1:10">
      <c r="A13" s="67"/>
      <c r="B13" s="56" t="s">
        <v>65</v>
      </c>
      <c r="C13" s="11">
        <f>46+79+32+47+10+20+50+27</f>
        <v>311</v>
      </c>
      <c r="D13" s="57">
        <v>881.22162000000003</v>
      </c>
    </row>
    <row r="14" spans="1:10">
      <c r="A14" s="67">
        <v>3</v>
      </c>
      <c r="B14" s="13" t="s">
        <v>67</v>
      </c>
      <c r="C14" s="60"/>
      <c r="D14" s="19"/>
    </row>
    <row r="15" spans="1:10">
      <c r="A15" s="67"/>
      <c r="B15" s="25" t="s">
        <v>64</v>
      </c>
      <c r="C15" s="32">
        <v>8213</v>
      </c>
      <c r="D15" s="19">
        <v>2.3980792645805433</v>
      </c>
    </row>
    <row r="16" spans="1:10">
      <c r="A16" s="67"/>
      <c r="B16" s="58" t="s">
        <v>65</v>
      </c>
      <c r="C16" s="11">
        <v>11</v>
      </c>
      <c r="D16" s="59">
        <v>880.2944</v>
      </c>
    </row>
    <row r="17" spans="1:4">
      <c r="A17" s="67">
        <v>4</v>
      </c>
      <c r="B17" s="13" t="s">
        <v>68</v>
      </c>
      <c r="C17" s="21"/>
      <c r="D17" s="22"/>
    </row>
    <row r="18" spans="1:4">
      <c r="A18" s="67"/>
      <c r="B18" s="25" t="s">
        <v>64</v>
      </c>
      <c r="C18" s="32">
        <v>43302</v>
      </c>
      <c r="D18" s="19">
        <v>2.5775855233784428</v>
      </c>
    </row>
    <row r="19" spans="1:4">
      <c r="A19" s="67"/>
      <c r="B19" s="25" t="s">
        <v>65</v>
      </c>
      <c r="C19" s="32">
        <f>29.769+20.094</f>
        <v>49.863</v>
      </c>
      <c r="D19" s="19">
        <v>883.13901999999996</v>
      </c>
    </row>
    <row r="20" spans="1:4">
      <c r="A20" s="67">
        <v>5</v>
      </c>
      <c r="B20" s="13" t="s">
        <v>69</v>
      </c>
      <c r="C20" s="32"/>
      <c r="D20" s="19"/>
    </row>
    <row r="21" spans="1:4">
      <c r="A21" s="67"/>
      <c r="B21" s="25" t="s">
        <v>64</v>
      </c>
      <c r="C21" s="32">
        <v>84002</v>
      </c>
      <c r="D21" s="19">
        <v>2.6345150512289393</v>
      </c>
    </row>
    <row r="22" spans="1:4">
      <c r="A22" s="67"/>
      <c r="B22" s="25" t="s">
        <v>65</v>
      </c>
      <c r="C22" s="32">
        <v>102</v>
      </c>
      <c r="D22" s="19">
        <v>881.03353000000004</v>
      </c>
    </row>
    <row r="23" spans="1:4">
      <c r="A23" s="67">
        <v>6</v>
      </c>
      <c r="B23" s="13" t="s">
        <v>70</v>
      </c>
      <c r="C23" s="32"/>
      <c r="D23" s="19"/>
    </row>
    <row r="24" spans="1:4">
      <c r="A24" s="67"/>
      <c r="B24" s="25" t="s">
        <v>64</v>
      </c>
      <c r="C24" s="32">
        <v>70348</v>
      </c>
      <c r="D24" s="19">
        <v>2.6043936335550883</v>
      </c>
    </row>
    <row r="25" spans="1:4">
      <c r="A25" s="67"/>
      <c r="B25" s="25" t="s">
        <v>65</v>
      </c>
      <c r="C25" s="32">
        <f>72+20</f>
        <v>92</v>
      </c>
      <c r="D25" s="19">
        <v>929.13453000000004</v>
      </c>
    </row>
    <row r="26" spans="1:4">
      <c r="A26" s="67">
        <v>7</v>
      </c>
      <c r="B26" s="13" t="s">
        <v>71</v>
      </c>
      <c r="C26" s="32"/>
      <c r="D26" s="19"/>
    </row>
    <row r="27" spans="1:4">
      <c r="A27" s="67"/>
      <c r="B27" s="25" t="s">
        <v>64</v>
      </c>
      <c r="C27" s="32">
        <v>18604.698</v>
      </c>
      <c r="D27" s="19">
        <v>2.774784806145917</v>
      </c>
    </row>
    <row r="28" spans="1:4">
      <c r="A28" s="67"/>
      <c r="B28" s="25" t="s">
        <v>65</v>
      </c>
      <c r="C28" s="32">
        <v>0</v>
      </c>
      <c r="D28" s="19">
        <v>0</v>
      </c>
    </row>
    <row r="29" spans="1:4">
      <c r="A29" s="67">
        <v>8</v>
      </c>
      <c r="B29" s="13" t="s">
        <v>72</v>
      </c>
      <c r="C29" s="18"/>
      <c r="D29" s="19"/>
    </row>
    <row r="30" spans="1:4">
      <c r="A30" s="67"/>
      <c r="B30" s="25" t="s">
        <v>64</v>
      </c>
      <c r="C30" s="32">
        <v>12710</v>
      </c>
      <c r="D30" s="19">
        <v>2.7331700760555995</v>
      </c>
    </row>
    <row r="31" spans="1:4">
      <c r="A31" s="67"/>
      <c r="B31" s="25" t="s">
        <v>65</v>
      </c>
      <c r="C31" s="32">
        <v>0</v>
      </c>
      <c r="D31" s="19">
        <v>0</v>
      </c>
    </row>
    <row r="32" spans="1:4">
      <c r="A32" s="67">
        <v>9</v>
      </c>
      <c r="B32" s="13" t="s">
        <v>78</v>
      </c>
      <c r="C32" s="32"/>
      <c r="D32" s="19"/>
    </row>
    <row r="33" spans="1:6">
      <c r="A33" s="67"/>
      <c r="B33" s="25" t="s">
        <v>64</v>
      </c>
      <c r="C33" s="32">
        <v>1024732</v>
      </c>
      <c r="D33" s="19">
        <v>2.477631102571209</v>
      </c>
    </row>
    <row r="34" spans="1:6">
      <c r="A34" s="67"/>
      <c r="B34" s="25" t="s">
        <v>65</v>
      </c>
      <c r="C34" s="32">
        <f>1293.524+9.799</f>
        <v>1303.3229999999999</v>
      </c>
      <c r="D34" s="19">
        <v>875.024</v>
      </c>
    </row>
    <row r="35" spans="1:6">
      <c r="A35" s="67">
        <v>10</v>
      </c>
      <c r="B35" s="13" t="s">
        <v>79</v>
      </c>
      <c r="C35" s="32"/>
      <c r="D35" s="19"/>
    </row>
    <row r="36" spans="1:6">
      <c r="A36" s="67"/>
      <c r="B36" s="25" t="s">
        <v>64</v>
      </c>
      <c r="C36" s="32">
        <v>44812</v>
      </c>
      <c r="D36" s="19">
        <v>2.5773691570710229</v>
      </c>
      <c r="F36" s="35"/>
    </row>
    <row r="37" spans="1:6">
      <c r="A37" s="67"/>
      <c r="B37" s="25" t="s">
        <v>65</v>
      </c>
      <c r="C37" s="32">
        <v>52</v>
      </c>
      <c r="D37" s="19">
        <v>896.43183999999997</v>
      </c>
    </row>
    <row r="38" spans="1:6">
      <c r="A38" s="67">
        <v>11</v>
      </c>
      <c r="B38" s="13" t="s">
        <v>80</v>
      </c>
      <c r="C38" s="32"/>
      <c r="D38" s="44"/>
    </row>
    <row r="39" spans="1:6">
      <c r="A39" s="67"/>
      <c r="B39" s="25" t="s">
        <v>64</v>
      </c>
      <c r="C39" s="32">
        <v>38882</v>
      </c>
      <c r="D39" s="44">
        <v>2.7595629082866107</v>
      </c>
    </row>
    <row r="40" spans="1:6">
      <c r="A40" s="67"/>
      <c r="B40" s="25" t="s">
        <v>65</v>
      </c>
      <c r="C40" s="32">
        <f>11+3+5+14+17</f>
        <v>50</v>
      </c>
      <c r="D40" s="19">
        <v>989.61833999999999</v>
      </c>
    </row>
    <row r="41" spans="1:6">
      <c r="A41" s="67">
        <v>12</v>
      </c>
      <c r="B41" s="13" t="s">
        <v>73</v>
      </c>
      <c r="C41" s="18"/>
      <c r="D41" s="26"/>
    </row>
    <row r="42" spans="1:6">
      <c r="A42" s="45"/>
      <c r="B42" s="25" t="s">
        <v>64</v>
      </c>
      <c r="C42" s="18"/>
      <c r="D42" s="19"/>
    </row>
    <row r="43" spans="1:6">
      <c r="A43" s="45"/>
      <c r="B43" s="25" t="s">
        <v>65</v>
      </c>
      <c r="C43" s="18"/>
      <c r="D43" s="26"/>
    </row>
    <row r="44" spans="1:6" s="15" customFormat="1">
      <c r="A44" s="67">
        <v>13</v>
      </c>
      <c r="B44" s="13" t="s">
        <v>74</v>
      </c>
      <c r="C44" s="21"/>
      <c r="D44" s="22"/>
    </row>
    <row r="45" spans="1:6">
      <c r="A45" s="45"/>
      <c r="B45" s="17" t="s">
        <v>64</v>
      </c>
      <c r="C45" s="32">
        <v>2415515</v>
      </c>
      <c r="D45" s="44">
        <v>3.4664282875494457</v>
      </c>
    </row>
    <row r="46" spans="1:6">
      <c r="A46" s="45"/>
      <c r="B46" s="17" t="s">
        <v>65</v>
      </c>
      <c r="C46" s="32">
        <v>0</v>
      </c>
      <c r="D46" s="19">
        <v>0</v>
      </c>
    </row>
    <row r="47" spans="1:6">
      <c r="A47" s="67">
        <v>14</v>
      </c>
      <c r="B47" s="13" t="s">
        <v>75</v>
      </c>
      <c r="C47" s="18"/>
      <c r="D47" s="19"/>
    </row>
    <row r="48" spans="1:6">
      <c r="A48" s="45"/>
      <c r="B48" s="25" t="s">
        <v>64</v>
      </c>
      <c r="C48" s="18">
        <v>0</v>
      </c>
      <c r="D48" s="19">
        <v>0</v>
      </c>
    </row>
    <row r="49" spans="1:4">
      <c r="A49" s="45"/>
      <c r="B49" s="25" t="s">
        <v>65</v>
      </c>
      <c r="C49" s="18">
        <v>0</v>
      </c>
      <c r="D49" s="19">
        <v>0</v>
      </c>
    </row>
    <row r="50" spans="1:4">
      <c r="A50" s="76" t="s">
        <v>76</v>
      </c>
      <c r="B50" s="76"/>
      <c r="C50" s="33">
        <f>C9+C12+C18+C21+C24+C27+C30+C33+C36+C39+C45+C48+C15</f>
        <v>5592066.6979999999</v>
      </c>
      <c r="D50" s="64"/>
    </row>
    <row r="51" spans="1:4">
      <c r="A51" s="76" t="s">
        <v>77</v>
      </c>
      <c r="B51" s="76"/>
      <c r="C51" s="33">
        <f>C10+C19+C22+C25+C28+C31+C34+C37+C40+C46+C49+C13+C16</f>
        <v>4143.1859999999997</v>
      </c>
      <c r="D51" s="64"/>
    </row>
    <row r="54" spans="1:4">
      <c r="C54" s="35"/>
    </row>
    <row r="55" spans="1:4">
      <c r="C55" s="47"/>
    </row>
    <row r="56" spans="1:4">
      <c r="C56" s="48"/>
    </row>
    <row r="57" spans="1:4">
      <c r="C57" s="48"/>
    </row>
    <row r="58" spans="1:4">
      <c r="C58" s="47"/>
    </row>
    <row r="59" spans="1:4">
      <c r="C59" s="48"/>
    </row>
    <row r="66" spans="3:3">
      <c r="C66" s="48"/>
    </row>
  </sheetData>
  <mergeCells count="8">
    <mergeCell ref="A50:B50"/>
    <mergeCell ref="A51:B51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D45EB-672A-492C-919E-DBC1D5E1D8FC}">
  <sheetPr>
    <pageSetUpPr fitToPage="1"/>
  </sheetPr>
  <dimension ref="A1:J63"/>
  <sheetViews>
    <sheetView topLeftCell="A25" zoomScale="87" zoomScaleNormal="87" workbookViewId="0">
      <selection activeCell="B11" sqref="B11"/>
    </sheetView>
  </sheetViews>
  <sheetFormatPr defaultRowHeight="15.75"/>
  <cols>
    <col min="1" max="1" width="9.140625" style="11"/>
    <col min="2" max="2" width="52.57031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43922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63</v>
      </c>
      <c r="C8" s="21"/>
      <c r="D8" s="22"/>
    </row>
    <row r="9" spans="1:10">
      <c r="A9" s="67"/>
      <c r="B9" s="17" t="s">
        <v>64</v>
      </c>
      <c r="C9" s="32">
        <v>1193293</v>
      </c>
      <c r="D9" s="19">
        <v>3.1295627449978061</v>
      </c>
      <c r="F9" s="35"/>
      <c r="G9" s="23"/>
    </row>
    <row r="10" spans="1:10">
      <c r="A10" s="67"/>
      <c r="B10" s="17" t="s">
        <v>65</v>
      </c>
      <c r="C10" s="43">
        <f>21+1+145+304+931+4+9+2+4+47+84+10+20</f>
        <v>1582</v>
      </c>
      <c r="D10" s="44">
        <v>988.82564000000002</v>
      </c>
      <c r="E10" s="24"/>
    </row>
    <row r="11" spans="1:10" s="15" customFormat="1">
      <c r="A11" s="67">
        <v>2</v>
      </c>
      <c r="B11" s="13" t="s">
        <v>66</v>
      </c>
      <c r="C11" s="21"/>
      <c r="D11" s="22"/>
    </row>
    <row r="12" spans="1:10">
      <c r="A12" s="67"/>
      <c r="B12" s="25" t="s">
        <v>64</v>
      </c>
      <c r="C12" s="32">
        <v>235825</v>
      </c>
      <c r="D12" s="19">
        <v>2.7175284285663803</v>
      </c>
    </row>
    <row r="13" spans="1:10">
      <c r="A13" s="67"/>
      <c r="B13" s="25" t="s">
        <v>65</v>
      </c>
      <c r="C13" s="11">
        <f>89+89+26+17+9+21+9+22+34+36+40</f>
        <v>392</v>
      </c>
      <c r="D13" s="19">
        <v>948.39251000000002</v>
      </c>
    </row>
    <row r="14" spans="1:10">
      <c r="A14" s="67">
        <v>3</v>
      </c>
      <c r="B14" s="13" t="s">
        <v>68</v>
      </c>
      <c r="C14" s="21"/>
      <c r="D14" s="22"/>
    </row>
    <row r="15" spans="1:10">
      <c r="A15" s="67"/>
      <c r="B15" s="25" t="s">
        <v>64</v>
      </c>
      <c r="C15" s="32">
        <v>37258</v>
      </c>
      <c r="D15" s="19">
        <v>2.6463415016014458</v>
      </c>
    </row>
    <row r="16" spans="1:10">
      <c r="A16" s="67"/>
      <c r="B16" s="25" t="s">
        <v>65</v>
      </c>
      <c r="C16" s="32">
        <f>25.808+17.753</f>
        <v>43.561</v>
      </c>
      <c r="D16" s="19">
        <v>950.98626000000002</v>
      </c>
    </row>
    <row r="17" spans="1:4">
      <c r="A17" s="67">
        <v>4</v>
      </c>
      <c r="B17" s="13" t="s">
        <v>69</v>
      </c>
      <c r="C17" s="32"/>
      <c r="D17" s="19"/>
    </row>
    <row r="18" spans="1:4">
      <c r="A18" s="67"/>
      <c r="B18" s="25" t="s">
        <v>64</v>
      </c>
      <c r="C18" s="32">
        <v>68397</v>
      </c>
      <c r="D18" s="19">
        <v>2.6653057395304867</v>
      </c>
    </row>
    <row r="19" spans="1:4">
      <c r="A19" s="67"/>
      <c r="B19" s="25" t="s">
        <v>65</v>
      </c>
      <c r="C19" s="32">
        <v>88</v>
      </c>
      <c r="D19" s="19">
        <v>947.64193</v>
      </c>
    </row>
    <row r="20" spans="1:4">
      <c r="A20" s="67">
        <v>5</v>
      </c>
      <c r="B20" s="13" t="s">
        <v>70</v>
      </c>
      <c r="C20" s="32"/>
      <c r="D20" s="19"/>
    </row>
    <row r="21" spans="1:4">
      <c r="A21" s="67"/>
      <c r="B21" s="25" t="s">
        <v>64</v>
      </c>
      <c r="C21" s="32">
        <v>54806</v>
      </c>
      <c r="D21" s="19">
        <v>3.0186149022613096</v>
      </c>
    </row>
    <row r="22" spans="1:4">
      <c r="A22" s="67"/>
      <c r="B22" s="25" t="s">
        <v>65</v>
      </c>
      <c r="C22" s="32">
        <f>70+18</f>
        <v>88</v>
      </c>
      <c r="D22" s="19">
        <v>1002.01595</v>
      </c>
    </row>
    <row r="23" spans="1:4">
      <c r="A23" s="67">
        <v>6</v>
      </c>
      <c r="B23" s="13" t="s">
        <v>71</v>
      </c>
      <c r="C23" s="32"/>
      <c r="D23" s="19"/>
    </row>
    <row r="24" spans="1:4">
      <c r="A24" s="67"/>
      <c r="B24" s="25" t="s">
        <v>64</v>
      </c>
      <c r="C24" s="32">
        <v>16585.887999999999</v>
      </c>
      <c r="D24" s="19">
        <v>2.9805579297291769</v>
      </c>
    </row>
    <row r="25" spans="1:4">
      <c r="A25" s="67"/>
      <c r="B25" s="25" t="s">
        <v>65</v>
      </c>
      <c r="C25" s="32">
        <v>0</v>
      </c>
      <c r="D25" s="19">
        <v>0</v>
      </c>
    </row>
    <row r="26" spans="1:4">
      <c r="A26" s="67">
        <v>7</v>
      </c>
      <c r="B26" s="13" t="s">
        <v>72</v>
      </c>
      <c r="C26" s="18"/>
      <c r="D26" s="19"/>
    </row>
    <row r="27" spans="1:4">
      <c r="A27" s="67"/>
      <c r="B27" s="25" t="s">
        <v>64</v>
      </c>
      <c r="C27" s="32">
        <v>10957</v>
      </c>
      <c r="D27" s="19">
        <v>3.1509210246113595</v>
      </c>
    </row>
    <row r="28" spans="1:4">
      <c r="A28" s="67"/>
      <c r="B28" s="25" t="s">
        <v>65</v>
      </c>
      <c r="C28" s="32">
        <v>0</v>
      </c>
      <c r="D28" s="19">
        <v>0</v>
      </c>
    </row>
    <row r="29" spans="1:4">
      <c r="A29" s="67">
        <v>8</v>
      </c>
      <c r="B29" s="13" t="s">
        <v>78</v>
      </c>
      <c r="C29" s="32"/>
      <c r="D29" s="19"/>
    </row>
    <row r="30" spans="1:4">
      <c r="A30" s="67"/>
      <c r="B30" s="25" t="s">
        <v>64</v>
      </c>
      <c r="C30" s="32">
        <v>880304</v>
      </c>
      <c r="D30" s="19">
        <v>2.607791077476266</v>
      </c>
    </row>
    <row r="31" spans="1:4">
      <c r="A31" s="67"/>
      <c r="B31" s="25" t="s">
        <v>65</v>
      </c>
      <c r="C31" s="32">
        <f>1248.653+7.755</f>
        <v>1256.4080000000001</v>
      </c>
      <c r="D31" s="19">
        <v>947.69374000000005</v>
      </c>
    </row>
    <row r="32" spans="1:4">
      <c r="A32" s="67">
        <v>9</v>
      </c>
      <c r="B32" s="13" t="s">
        <v>79</v>
      </c>
      <c r="C32" s="32"/>
      <c r="D32" s="19"/>
    </row>
    <row r="33" spans="1:6">
      <c r="A33" s="67"/>
      <c r="B33" s="25" t="s">
        <v>64</v>
      </c>
      <c r="C33" s="32">
        <v>37732</v>
      </c>
      <c r="D33" s="19">
        <v>2.6071926128131735</v>
      </c>
      <c r="F33" s="35"/>
    </row>
    <row r="34" spans="1:6">
      <c r="A34" s="67"/>
      <c r="B34" s="25" t="s">
        <v>65</v>
      </c>
      <c r="C34" s="32">
        <v>43</v>
      </c>
      <c r="D34" s="19">
        <v>964.64227000000005</v>
      </c>
    </row>
    <row r="35" spans="1:6">
      <c r="A35" s="67">
        <v>10</v>
      </c>
      <c r="B35" s="13" t="s">
        <v>80</v>
      </c>
      <c r="C35" s="32"/>
      <c r="D35" s="44"/>
    </row>
    <row r="36" spans="1:6">
      <c r="A36" s="67"/>
      <c r="B36" s="25" t="s">
        <v>64</v>
      </c>
      <c r="C36" s="32">
        <v>28500</v>
      </c>
      <c r="D36" s="44">
        <v>2.7790108187134503</v>
      </c>
    </row>
    <row r="37" spans="1:6">
      <c r="A37" s="67"/>
      <c r="B37" s="25" t="s">
        <v>65</v>
      </c>
      <c r="C37" s="32">
        <f>9+12+8+6+1</f>
        <v>36</v>
      </c>
      <c r="D37" s="19">
        <v>1052.22298</v>
      </c>
    </row>
    <row r="38" spans="1:6">
      <c r="A38" s="67">
        <v>11</v>
      </c>
      <c r="B38" s="13" t="s">
        <v>73</v>
      </c>
      <c r="C38" s="18"/>
      <c r="D38" s="26"/>
    </row>
    <row r="39" spans="1:6">
      <c r="A39" s="45"/>
      <c r="B39" s="25" t="s">
        <v>64</v>
      </c>
      <c r="C39" s="18"/>
      <c r="D39" s="19"/>
    </row>
    <row r="40" spans="1:6">
      <c r="A40" s="45"/>
      <c r="B40" s="25" t="s">
        <v>65</v>
      </c>
      <c r="C40" s="18"/>
      <c r="D40" s="26"/>
    </row>
    <row r="41" spans="1:6" s="15" customFormat="1">
      <c r="A41" s="67">
        <v>12</v>
      </c>
      <c r="B41" s="13" t="s">
        <v>74</v>
      </c>
      <c r="C41" s="21"/>
      <c r="D41" s="22"/>
    </row>
    <row r="42" spans="1:6">
      <c r="A42" s="45"/>
      <c r="B42" s="17" t="s">
        <v>64</v>
      </c>
      <c r="C42" s="32">
        <v>2945874</v>
      </c>
      <c r="D42" s="44">
        <v>3.773524869020195</v>
      </c>
    </row>
    <row r="43" spans="1:6">
      <c r="A43" s="45"/>
      <c r="B43" s="17" t="s">
        <v>65</v>
      </c>
      <c r="C43" s="32">
        <v>0</v>
      </c>
      <c r="D43" s="19">
        <v>0</v>
      </c>
    </row>
    <row r="44" spans="1:6">
      <c r="A44" s="67">
        <v>13</v>
      </c>
      <c r="B44" s="13" t="s">
        <v>75</v>
      </c>
      <c r="C44" s="18"/>
      <c r="D44" s="19"/>
    </row>
    <row r="45" spans="1:6">
      <c r="A45" s="45"/>
      <c r="B45" s="25" t="s">
        <v>64</v>
      </c>
      <c r="C45" s="18">
        <v>0</v>
      </c>
      <c r="D45" s="19">
        <v>0</v>
      </c>
    </row>
    <row r="46" spans="1:6">
      <c r="A46" s="45"/>
      <c r="B46" s="25" t="s">
        <v>65</v>
      </c>
      <c r="C46" s="18">
        <v>0</v>
      </c>
      <c r="D46" s="19">
        <v>0</v>
      </c>
    </row>
    <row r="47" spans="1:6">
      <c r="A47" s="76" t="s">
        <v>76</v>
      </c>
      <c r="B47" s="76"/>
      <c r="C47" s="33">
        <f>C9+C12+C15+C18+C21+C24+C27+C30+C33+C36+C42+C45</f>
        <v>5509531.8880000003</v>
      </c>
      <c r="D47" s="64"/>
    </row>
    <row r="48" spans="1:6">
      <c r="A48" s="76" t="s">
        <v>77</v>
      </c>
      <c r="B48" s="76"/>
      <c r="C48" s="33">
        <f>C10+C16+C19+C22+C25+C28+C31+C34+C37+C43+C46+C13</f>
        <v>3528.9690000000001</v>
      </c>
      <c r="D48" s="64"/>
    </row>
    <row r="51" spans="3:3">
      <c r="C51" s="35"/>
    </row>
    <row r="52" spans="3:3">
      <c r="C52" s="47"/>
    </row>
    <row r="53" spans="3:3">
      <c r="C53" s="48"/>
    </row>
    <row r="54" spans="3:3">
      <c r="C54" s="48"/>
    </row>
    <row r="55" spans="3:3">
      <c r="C55" s="47"/>
    </row>
    <row r="56" spans="3:3">
      <c r="C56" s="48"/>
    </row>
    <row r="63" spans="3:3">
      <c r="C63" s="48"/>
    </row>
  </sheetData>
  <mergeCells count="8">
    <mergeCell ref="A47:B47"/>
    <mergeCell ref="A48:B48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842D-E984-4D4E-9660-F5010D33E0D1}">
  <sheetPr>
    <pageSetUpPr fitToPage="1"/>
  </sheetPr>
  <dimension ref="A1:J78"/>
  <sheetViews>
    <sheetView topLeftCell="A25" zoomScale="87" zoomScaleNormal="87" workbookViewId="0">
      <selection activeCell="B24" sqref="B24"/>
    </sheetView>
  </sheetViews>
  <sheetFormatPr defaultRowHeight="15.75"/>
  <cols>
    <col min="1" max="1" width="9.140625" style="11"/>
    <col min="2" max="2" width="52.57031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43952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63</v>
      </c>
      <c r="C8" s="21"/>
      <c r="D8" s="22"/>
    </row>
    <row r="9" spans="1:10">
      <c r="A9" s="67"/>
      <c r="B9" s="17" t="s">
        <v>64</v>
      </c>
      <c r="C9" s="32">
        <v>1193650</v>
      </c>
      <c r="D9" s="19">
        <v>2.736775667071587</v>
      </c>
      <c r="F9" s="35"/>
      <c r="G9" s="23"/>
    </row>
    <row r="10" spans="1:10">
      <c r="A10" s="67"/>
      <c r="B10" s="17" t="s">
        <v>65</v>
      </c>
      <c r="C10" s="32">
        <v>1568</v>
      </c>
      <c r="D10" s="19">
        <v>981.69326999999998</v>
      </c>
      <c r="E10" s="24"/>
    </row>
    <row r="11" spans="1:10" s="15" customFormat="1">
      <c r="A11" s="67">
        <v>2</v>
      </c>
      <c r="B11" s="13" t="s">
        <v>66</v>
      </c>
      <c r="C11" s="21"/>
      <c r="D11" s="22"/>
    </row>
    <row r="12" spans="1:10">
      <c r="A12" s="67"/>
      <c r="B12" s="25" t="s">
        <v>64</v>
      </c>
      <c r="C12" s="32">
        <v>300257</v>
      </c>
      <c r="D12" s="19">
        <v>2.6134077917694953</v>
      </c>
    </row>
    <row r="13" spans="1:10">
      <c r="A13" s="67"/>
      <c r="B13" s="25" t="s">
        <v>65</v>
      </c>
      <c r="C13" s="11">
        <f>13+141+31+10+16+41+28+6+14+17+21</f>
        <v>338</v>
      </c>
      <c r="D13" s="19">
        <v>940.87977000000001</v>
      </c>
    </row>
    <row r="14" spans="1:10" s="15" customFormat="1">
      <c r="A14" s="67">
        <v>3</v>
      </c>
      <c r="B14" s="13" t="s">
        <v>81</v>
      </c>
      <c r="C14" s="40"/>
      <c r="D14" s="40"/>
    </row>
    <row r="15" spans="1:10">
      <c r="A15" s="67"/>
      <c r="B15" s="25" t="s">
        <v>64</v>
      </c>
      <c r="C15" s="32">
        <v>6508</v>
      </c>
      <c r="D15" s="41">
        <v>2.6350312435976235</v>
      </c>
    </row>
    <row r="16" spans="1:10">
      <c r="A16" s="67"/>
      <c r="B16" s="25" t="s">
        <v>65</v>
      </c>
      <c r="C16" s="39">
        <v>8.7100000000000009</v>
      </c>
      <c r="D16" s="41">
        <v>940.50289999999995</v>
      </c>
    </row>
    <row r="17" spans="1:4">
      <c r="A17" s="67">
        <v>4</v>
      </c>
      <c r="B17" s="13" t="s">
        <v>68</v>
      </c>
      <c r="C17" s="21"/>
      <c r="D17" s="22"/>
    </row>
    <row r="18" spans="1:4">
      <c r="A18" s="67"/>
      <c r="B18" s="25" t="s">
        <v>64</v>
      </c>
      <c r="C18" s="32">
        <v>30172</v>
      </c>
      <c r="D18" s="19">
        <v>2.5043381833046094</v>
      </c>
    </row>
    <row r="19" spans="1:4">
      <c r="A19" s="67"/>
      <c r="B19" s="25" t="s">
        <v>65</v>
      </c>
      <c r="C19" s="32">
        <f>15.986+16.888</f>
        <v>32.874000000000002</v>
      </c>
      <c r="D19" s="19">
        <v>943.76643000000001</v>
      </c>
    </row>
    <row r="20" spans="1:4">
      <c r="A20" s="67">
        <v>5</v>
      </c>
      <c r="B20" s="13" t="s">
        <v>69</v>
      </c>
      <c r="C20" s="32"/>
      <c r="D20" s="19"/>
    </row>
    <row r="21" spans="1:4">
      <c r="A21" s="67"/>
      <c r="B21" s="25" t="s">
        <v>64</v>
      </c>
      <c r="C21" s="32">
        <v>80363</v>
      </c>
      <c r="D21" s="19">
        <v>2.4989880293169744</v>
      </c>
    </row>
    <row r="22" spans="1:4">
      <c r="A22" s="67"/>
      <c r="B22" s="25" t="s">
        <v>65</v>
      </c>
      <c r="C22" s="32">
        <v>89</v>
      </c>
      <c r="D22" s="19">
        <v>938.65383999999995</v>
      </c>
    </row>
    <row r="23" spans="1:4">
      <c r="A23" s="67">
        <v>6</v>
      </c>
      <c r="B23" s="13" t="s">
        <v>70</v>
      </c>
      <c r="C23" s="32"/>
      <c r="D23" s="19"/>
    </row>
    <row r="24" spans="1:4">
      <c r="A24" s="67"/>
      <c r="B24" s="25" t="s">
        <v>64</v>
      </c>
      <c r="C24" s="32">
        <v>48416</v>
      </c>
      <c r="D24" s="19">
        <v>2.901014471799956</v>
      </c>
    </row>
    <row r="25" spans="1:4">
      <c r="A25" s="67"/>
      <c r="B25" s="25" t="s">
        <v>65</v>
      </c>
      <c r="C25" s="32">
        <f>60+15</f>
        <v>75</v>
      </c>
      <c r="D25" s="19">
        <v>993.69084999999995</v>
      </c>
    </row>
    <row r="26" spans="1:4">
      <c r="A26" s="67">
        <v>7</v>
      </c>
      <c r="B26" s="13" t="s">
        <v>71</v>
      </c>
      <c r="C26" s="32"/>
      <c r="D26" s="19"/>
    </row>
    <row r="27" spans="1:4">
      <c r="A27" s="67"/>
      <c r="B27" s="25" t="s">
        <v>64</v>
      </c>
      <c r="C27" s="32">
        <v>16745.330000000002</v>
      </c>
      <c r="D27" s="19">
        <v>2.9743008946374898</v>
      </c>
    </row>
    <row r="28" spans="1:4">
      <c r="A28" s="67"/>
      <c r="B28" s="25" t="s">
        <v>65</v>
      </c>
      <c r="C28" s="32">
        <v>0</v>
      </c>
      <c r="D28" s="19">
        <v>0</v>
      </c>
    </row>
    <row r="29" spans="1:4">
      <c r="A29" s="67">
        <v>8</v>
      </c>
      <c r="B29" s="13" t="s">
        <v>72</v>
      </c>
      <c r="C29" s="18"/>
      <c r="D29" s="19"/>
    </row>
    <row r="30" spans="1:4">
      <c r="A30" s="67"/>
      <c r="B30" s="25" t="s">
        <v>64</v>
      </c>
      <c r="C30" s="32">
        <v>11161</v>
      </c>
      <c r="D30" s="19">
        <v>3.1946002449003972</v>
      </c>
    </row>
    <row r="31" spans="1:4">
      <c r="A31" s="67"/>
      <c r="B31" s="25" t="s">
        <v>65</v>
      </c>
      <c r="C31" s="32">
        <v>0</v>
      </c>
      <c r="D31" s="19">
        <v>0</v>
      </c>
    </row>
    <row r="32" spans="1:4">
      <c r="A32" s="67">
        <v>9</v>
      </c>
      <c r="B32" s="13" t="s">
        <v>78</v>
      </c>
      <c r="C32" s="32"/>
      <c r="D32" s="19"/>
    </row>
    <row r="33" spans="1:6">
      <c r="A33" s="67"/>
      <c r="B33" s="25" t="s">
        <v>64</v>
      </c>
      <c r="C33" s="32">
        <v>879825</v>
      </c>
      <c r="D33" s="19">
        <v>2.9882340806410368</v>
      </c>
    </row>
    <row r="34" spans="1:6">
      <c r="A34" s="67"/>
      <c r="B34" s="25" t="s">
        <v>65</v>
      </c>
      <c r="C34" s="32">
        <f>1627.334+22.34</f>
        <v>1649.674</v>
      </c>
      <c r="D34" s="19">
        <v>940.87136999999996</v>
      </c>
    </row>
    <row r="35" spans="1:6">
      <c r="A35" s="67">
        <v>10</v>
      </c>
      <c r="B35" s="13" t="s">
        <v>82</v>
      </c>
      <c r="C35" s="32"/>
      <c r="D35" s="19"/>
    </row>
    <row r="36" spans="1:6">
      <c r="A36" s="67"/>
      <c r="B36" s="25" t="s">
        <v>64</v>
      </c>
      <c r="C36" s="32">
        <v>6964</v>
      </c>
      <c r="D36" s="19">
        <v>3.1155286712617269</v>
      </c>
    </row>
    <row r="37" spans="1:6">
      <c r="A37" s="67"/>
      <c r="B37" s="25" t="s">
        <v>65</v>
      </c>
      <c r="C37" s="32">
        <v>13</v>
      </c>
      <c r="D37" s="19">
        <v>940.76626999999996</v>
      </c>
    </row>
    <row r="38" spans="1:6">
      <c r="A38" s="67">
        <v>11</v>
      </c>
      <c r="B38" s="13" t="s">
        <v>79</v>
      </c>
      <c r="C38" s="32"/>
      <c r="D38" s="19"/>
    </row>
    <row r="39" spans="1:6">
      <c r="A39" s="67"/>
      <c r="B39" s="25" t="s">
        <v>64</v>
      </c>
      <c r="C39" s="32">
        <v>41425</v>
      </c>
      <c r="D39" s="19">
        <v>2.4806503721585194</v>
      </c>
      <c r="F39" s="35"/>
    </row>
    <row r="40" spans="1:6">
      <c r="A40" s="67"/>
      <c r="B40" s="25" t="s">
        <v>65</v>
      </c>
      <c r="C40" s="32">
        <f>28+11+5</f>
        <v>44</v>
      </c>
      <c r="D40" s="19">
        <v>954.57173</v>
      </c>
    </row>
    <row r="41" spans="1:6">
      <c r="A41" s="67">
        <v>12</v>
      </c>
      <c r="B41" s="13" t="s">
        <v>80</v>
      </c>
      <c r="C41" s="32"/>
      <c r="D41" s="44"/>
    </row>
    <row r="42" spans="1:6">
      <c r="A42" s="67"/>
      <c r="B42" s="25" t="s">
        <v>64</v>
      </c>
      <c r="C42" s="32">
        <v>58018</v>
      </c>
      <c r="D42" s="44">
        <v>2.6883105243200389</v>
      </c>
    </row>
    <row r="43" spans="1:6">
      <c r="A43" s="67"/>
      <c r="B43" s="25" t="s">
        <v>65</v>
      </c>
      <c r="C43" s="32">
        <f>11+14+12+9+3+4+12+7</f>
        <v>72</v>
      </c>
      <c r="D43" s="19">
        <v>1022.60068</v>
      </c>
    </row>
    <row r="44" spans="1:6">
      <c r="A44" s="67">
        <v>13</v>
      </c>
      <c r="B44" s="13" t="s">
        <v>83</v>
      </c>
      <c r="C44" s="32"/>
      <c r="D44" s="19"/>
    </row>
    <row r="45" spans="1:6">
      <c r="A45" s="67"/>
      <c r="B45" s="25" t="s">
        <v>64</v>
      </c>
      <c r="C45" s="32">
        <v>68034</v>
      </c>
      <c r="D45" s="44">
        <v>2.0240400633016824</v>
      </c>
    </row>
    <row r="46" spans="1:6">
      <c r="A46" s="67"/>
      <c r="B46" s="25" t="s">
        <v>65</v>
      </c>
      <c r="C46" s="32">
        <v>0</v>
      </c>
      <c r="D46" s="19">
        <v>0</v>
      </c>
    </row>
    <row r="47" spans="1:6">
      <c r="A47" s="67">
        <v>14</v>
      </c>
      <c r="B47" s="13" t="s">
        <v>84</v>
      </c>
      <c r="C47" s="32"/>
      <c r="D47" s="19"/>
    </row>
    <row r="48" spans="1:6">
      <c r="A48" s="67"/>
      <c r="B48" s="25" t="s">
        <v>64</v>
      </c>
      <c r="C48" s="32">
        <v>9780</v>
      </c>
      <c r="D48" s="44">
        <v>2.8828203817314249</v>
      </c>
    </row>
    <row r="49" spans="1:4">
      <c r="A49" s="67"/>
      <c r="B49" s="25" t="s">
        <v>65</v>
      </c>
      <c r="C49" s="32">
        <v>0</v>
      </c>
      <c r="D49" s="19">
        <v>0</v>
      </c>
    </row>
    <row r="50" spans="1:4">
      <c r="A50" s="67">
        <v>15</v>
      </c>
      <c r="B50" s="42" t="s">
        <v>85</v>
      </c>
      <c r="C50" s="32"/>
      <c r="D50" s="19"/>
    </row>
    <row r="51" spans="1:4">
      <c r="A51" s="67"/>
      <c r="B51" s="25" t="s">
        <v>64</v>
      </c>
      <c r="C51" s="32">
        <v>11575</v>
      </c>
      <c r="D51" s="44">
        <v>2.2769884809215264</v>
      </c>
    </row>
    <row r="52" spans="1:4">
      <c r="A52" s="67"/>
      <c r="B52" s="25" t="s">
        <v>65</v>
      </c>
      <c r="C52" s="32">
        <v>12</v>
      </c>
      <c r="D52" s="19">
        <v>942.80024000000003</v>
      </c>
    </row>
    <row r="53" spans="1:4">
      <c r="A53" s="67">
        <v>16</v>
      </c>
      <c r="B53" s="13" t="s">
        <v>73</v>
      </c>
      <c r="C53" s="18"/>
      <c r="D53" s="26"/>
    </row>
    <row r="54" spans="1:4">
      <c r="A54" s="45"/>
      <c r="B54" s="25" t="s">
        <v>64</v>
      </c>
      <c r="C54" s="18"/>
      <c r="D54" s="19"/>
    </row>
    <row r="55" spans="1:4">
      <c r="A55" s="45"/>
      <c r="B55" s="25" t="s">
        <v>65</v>
      </c>
      <c r="C55" s="18"/>
      <c r="D55" s="26"/>
    </row>
    <row r="56" spans="1:4" s="15" customFormat="1">
      <c r="A56" s="67">
        <v>17</v>
      </c>
      <c r="B56" s="13" t="s">
        <v>74</v>
      </c>
      <c r="C56" s="21"/>
      <c r="D56" s="22"/>
    </row>
    <row r="57" spans="1:4">
      <c r="A57" s="45"/>
      <c r="B57" s="17" t="s">
        <v>64</v>
      </c>
      <c r="C57" s="32">
        <v>8204453</v>
      </c>
      <c r="D57" s="44">
        <v>2.5046454427451366</v>
      </c>
    </row>
    <row r="58" spans="1:4">
      <c r="A58" s="45"/>
      <c r="B58" s="17" t="s">
        <v>65</v>
      </c>
      <c r="C58" s="32">
        <v>0</v>
      </c>
      <c r="D58" s="19">
        <v>0</v>
      </c>
    </row>
    <row r="59" spans="1:4">
      <c r="A59" s="67">
        <v>18</v>
      </c>
      <c r="B59" s="13" t="s">
        <v>75</v>
      </c>
      <c r="C59" s="18"/>
      <c r="D59" s="19"/>
    </row>
    <row r="60" spans="1:4">
      <c r="A60" s="45"/>
      <c r="B60" s="25" t="s">
        <v>64</v>
      </c>
      <c r="C60" s="18">
        <v>0</v>
      </c>
      <c r="D60" s="19">
        <v>0</v>
      </c>
    </row>
    <row r="61" spans="1:4">
      <c r="A61" s="45"/>
      <c r="B61" s="25" t="s">
        <v>65</v>
      </c>
      <c r="C61" s="18">
        <v>0</v>
      </c>
      <c r="D61" s="19">
        <v>0</v>
      </c>
    </row>
    <row r="62" spans="1:4">
      <c r="A62" s="76" t="s">
        <v>76</v>
      </c>
      <c r="B62" s="76"/>
      <c r="C62" s="33">
        <f>C9+C12++C15+C18+C21+C24+C27+C30+C33+C36+C39+C42+C45+C48+C51+C57+C60</f>
        <v>10967346.33</v>
      </c>
      <c r="D62" s="64"/>
    </row>
    <row r="63" spans="1:4">
      <c r="A63" s="76" t="s">
        <v>77</v>
      </c>
      <c r="B63" s="76"/>
      <c r="C63" s="33">
        <f>C10+C16+C19+C22+C25+C28+C31+C34+C37+C40+C43+C46+C49+C52+C58+C61+C13</f>
        <v>3902.2579999999998</v>
      </c>
      <c r="D63" s="64"/>
    </row>
    <row r="66" spans="3:3">
      <c r="C66" s="35"/>
    </row>
    <row r="67" spans="3:3">
      <c r="C67" s="47"/>
    </row>
    <row r="68" spans="3:3">
      <c r="C68" s="48"/>
    </row>
    <row r="69" spans="3:3">
      <c r="C69" s="48"/>
    </row>
    <row r="70" spans="3:3">
      <c r="C70" s="47"/>
    </row>
    <row r="71" spans="3:3">
      <c r="C71" s="48"/>
    </row>
    <row r="78" spans="3:3">
      <c r="C78" s="48"/>
    </row>
  </sheetData>
  <mergeCells count="8">
    <mergeCell ref="A62:B62"/>
    <mergeCell ref="A63:B63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3043-4836-4D8F-8FC4-E5FCE90F4DE7}">
  <sheetPr>
    <pageSetUpPr fitToPage="1"/>
  </sheetPr>
  <dimension ref="A1:J78"/>
  <sheetViews>
    <sheetView topLeftCell="A34" zoomScale="87" zoomScaleNormal="87" workbookViewId="0">
      <selection activeCell="E33" sqref="E33"/>
    </sheetView>
  </sheetViews>
  <sheetFormatPr defaultRowHeight="15.75"/>
  <cols>
    <col min="1" max="1" width="9.140625" style="11"/>
    <col min="2" max="2" width="52.57031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43983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63</v>
      </c>
      <c r="C8" s="21"/>
      <c r="D8" s="22"/>
    </row>
    <row r="9" spans="1:10">
      <c r="A9" s="67"/>
      <c r="B9" s="17" t="s">
        <v>64</v>
      </c>
      <c r="C9" s="32">
        <v>1523102</v>
      </c>
      <c r="D9" s="19">
        <v>3.3494982334297592</v>
      </c>
      <c r="F9" s="35"/>
      <c r="G9" s="23"/>
    </row>
    <row r="10" spans="1:10">
      <c r="A10" s="67"/>
      <c r="B10" s="17" t="s">
        <v>65</v>
      </c>
      <c r="C10" s="32">
        <v>2383</v>
      </c>
      <c r="D10" s="19">
        <v>970.50032999999996</v>
      </c>
      <c r="E10" s="24"/>
    </row>
    <row r="11" spans="1:10" s="15" customFormat="1">
      <c r="A11" s="67">
        <v>2</v>
      </c>
      <c r="B11" s="13" t="s">
        <v>66</v>
      </c>
      <c r="C11" s="21"/>
      <c r="D11" s="22"/>
    </row>
    <row r="12" spans="1:10">
      <c r="A12" s="67"/>
      <c r="B12" s="25" t="s">
        <v>64</v>
      </c>
      <c r="C12" s="32">
        <v>263224</v>
      </c>
      <c r="D12" s="19">
        <v>2.6791557760690514</v>
      </c>
    </row>
    <row r="13" spans="1:10">
      <c r="A13" s="67"/>
      <c r="B13" s="25" t="s">
        <v>65</v>
      </c>
      <c r="C13" s="11">
        <f>16+6+27+33+15+21+34+42+97+12+16+10</f>
        <v>329</v>
      </c>
      <c r="D13" s="19">
        <v>931.81025</v>
      </c>
    </row>
    <row r="14" spans="1:10" s="15" customFormat="1">
      <c r="A14" s="67">
        <v>3</v>
      </c>
      <c r="B14" s="13" t="s">
        <v>81</v>
      </c>
      <c r="C14" s="40"/>
      <c r="D14" s="40"/>
    </row>
    <row r="15" spans="1:10">
      <c r="A15" s="67"/>
      <c r="B15" s="25" t="s">
        <v>64</v>
      </c>
      <c r="C15" s="32">
        <v>6811</v>
      </c>
      <c r="D15" s="41">
        <v>2.7070559878627716</v>
      </c>
    </row>
    <row r="16" spans="1:10">
      <c r="A16" s="67"/>
      <c r="B16" s="25" t="s">
        <v>65</v>
      </c>
      <c r="C16" s="39">
        <v>9.3000000000000007</v>
      </c>
      <c r="D16" s="41">
        <v>932.05038999999999</v>
      </c>
    </row>
    <row r="17" spans="1:4">
      <c r="A17" s="67">
        <v>4</v>
      </c>
      <c r="B17" s="13" t="s">
        <v>68</v>
      </c>
      <c r="C17" s="21"/>
      <c r="D17" s="22"/>
    </row>
    <row r="18" spans="1:4">
      <c r="A18" s="67"/>
      <c r="B18" s="25" t="s">
        <v>64</v>
      </c>
      <c r="C18" s="32">
        <v>30100</v>
      </c>
      <c r="D18" s="19">
        <v>2.6832768549280179</v>
      </c>
    </row>
    <row r="19" spans="1:4">
      <c r="A19" s="67"/>
      <c r="B19" s="25" t="s">
        <v>65</v>
      </c>
      <c r="C19" s="32">
        <f>16.051+20.22</f>
        <v>36.271000000000001</v>
      </c>
      <c r="D19" s="19">
        <v>933.24519999999995</v>
      </c>
    </row>
    <row r="20" spans="1:4">
      <c r="A20" s="67">
        <v>5</v>
      </c>
      <c r="B20" s="13" t="s">
        <v>69</v>
      </c>
      <c r="C20" s="32"/>
      <c r="D20" s="19"/>
    </row>
    <row r="21" spans="1:4">
      <c r="A21" s="67"/>
      <c r="B21" s="25" t="s">
        <v>64</v>
      </c>
      <c r="C21" s="32">
        <v>76915</v>
      </c>
      <c r="D21" s="19">
        <v>2.7057988255433489</v>
      </c>
    </row>
    <row r="22" spans="1:4">
      <c r="A22" s="67"/>
      <c r="B22" s="25" t="s">
        <v>65</v>
      </c>
      <c r="C22" s="32">
        <v>86</v>
      </c>
      <c r="D22" s="19">
        <v>929.93551000000002</v>
      </c>
    </row>
    <row r="23" spans="1:4">
      <c r="A23" s="67">
        <v>6</v>
      </c>
      <c r="B23" s="13" t="s">
        <v>70</v>
      </c>
      <c r="C23" s="32"/>
      <c r="D23" s="19"/>
    </row>
    <row r="24" spans="1:4">
      <c r="A24" s="67"/>
      <c r="B24" s="25" t="s">
        <v>64</v>
      </c>
      <c r="C24" s="32">
        <v>46924</v>
      </c>
      <c r="D24" s="19">
        <v>2.87368901486091</v>
      </c>
    </row>
    <row r="25" spans="1:4">
      <c r="A25" s="67"/>
      <c r="B25" s="25" t="s">
        <v>65</v>
      </c>
      <c r="C25" s="32">
        <f>58+13</f>
        <v>71</v>
      </c>
      <c r="D25" s="19">
        <v>991.98140000000001</v>
      </c>
    </row>
    <row r="26" spans="1:4">
      <c r="A26" s="67">
        <v>7</v>
      </c>
      <c r="B26" s="13" t="s">
        <v>71</v>
      </c>
      <c r="C26" s="32"/>
      <c r="D26" s="19"/>
    </row>
    <row r="27" spans="1:4">
      <c r="A27" s="67"/>
      <c r="B27" s="25" t="s">
        <v>64</v>
      </c>
      <c r="C27" s="32">
        <v>17194.698</v>
      </c>
      <c r="D27" s="19">
        <v>2.9275516596259306</v>
      </c>
    </row>
    <row r="28" spans="1:4">
      <c r="A28" s="67"/>
      <c r="B28" s="25" t="s">
        <v>65</v>
      </c>
      <c r="C28" s="32">
        <v>0</v>
      </c>
      <c r="D28" s="19">
        <v>0</v>
      </c>
    </row>
    <row r="29" spans="1:4">
      <c r="A29" s="67">
        <v>8</v>
      </c>
      <c r="B29" s="13" t="s">
        <v>72</v>
      </c>
      <c r="C29" s="18"/>
      <c r="D29" s="19"/>
    </row>
    <row r="30" spans="1:4">
      <c r="A30" s="67"/>
      <c r="B30" s="25" t="s">
        <v>64</v>
      </c>
      <c r="C30" s="32">
        <v>18443</v>
      </c>
      <c r="D30" s="19">
        <v>2.8121880026749086</v>
      </c>
    </row>
    <row r="31" spans="1:4">
      <c r="A31" s="67"/>
      <c r="B31" s="25" t="s">
        <v>65</v>
      </c>
      <c r="C31" s="32">
        <v>0</v>
      </c>
      <c r="D31" s="19">
        <v>0</v>
      </c>
    </row>
    <row r="32" spans="1:4">
      <c r="A32" s="67">
        <v>9</v>
      </c>
      <c r="B32" s="13" t="s">
        <v>78</v>
      </c>
      <c r="C32" s="32"/>
      <c r="D32" s="19"/>
    </row>
    <row r="33" spans="1:6">
      <c r="A33" s="67"/>
      <c r="B33" s="25" t="s">
        <v>64</v>
      </c>
      <c r="C33" s="32">
        <v>1033691</v>
      </c>
      <c r="D33" s="19">
        <v>2.8592503868822181</v>
      </c>
    </row>
    <row r="34" spans="1:6">
      <c r="A34" s="67"/>
      <c r="B34" s="25" t="s">
        <v>65</v>
      </c>
      <c r="C34" s="32">
        <f>21.86+1701.24</f>
        <v>1723.1</v>
      </c>
      <c r="D34" s="19">
        <v>929.73073999999997</v>
      </c>
    </row>
    <row r="35" spans="1:6">
      <c r="A35" s="67">
        <v>10</v>
      </c>
      <c r="B35" s="13" t="s">
        <v>82</v>
      </c>
      <c r="C35" s="32"/>
      <c r="D35" s="19"/>
    </row>
    <row r="36" spans="1:6">
      <c r="A36" s="67"/>
      <c r="B36" s="25" t="s">
        <v>64</v>
      </c>
      <c r="C36" s="32">
        <v>6668</v>
      </c>
      <c r="D36" s="19">
        <v>3.2718043891221753</v>
      </c>
    </row>
    <row r="37" spans="1:6">
      <c r="A37" s="67"/>
      <c r="B37" s="25" t="s">
        <v>65</v>
      </c>
      <c r="C37" s="32">
        <v>0</v>
      </c>
      <c r="D37" s="19">
        <v>0</v>
      </c>
    </row>
    <row r="38" spans="1:6">
      <c r="A38" s="67">
        <v>11</v>
      </c>
      <c r="B38" s="13" t="s">
        <v>79</v>
      </c>
      <c r="C38" s="32"/>
      <c r="D38" s="19"/>
    </row>
    <row r="39" spans="1:6">
      <c r="A39" s="67"/>
      <c r="B39" s="25" t="s">
        <v>64</v>
      </c>
      <c r="C39" s="32">
        <v>37026</v>
      </c>
      <c r="D39" s="19">
        <v>2.7277626982840886</v>
      </c>
      <c r="F39" s="35"/>
    </row>
    <row r="40" spans="1:6">
      <c r="A40" s="67"/>
      <c r="B40" s="25" t="s">
        <v>65</v>
      </c>
      <c r="C40" s="32">
        <f>27+13+7</f>
        <v>47</v>
      </c>
      <c r="D40" s="19">
        <v>934.57015999999999</v>
      </c>
    </row>
    <row r="41" spans="1:6">
      <c r="A41" s="67">
        <v>12</v>
      </c>
      <c r="B41" s="13" t="s">
        <v>80</v>
      </c>
      <c r="C41" s="32"/>
      <c r="D41" s="44"/>
    </row>
    <row r="42" spans="1:6">
      <c r="A42" s="67"/>
      <c r="B42" s="25" t="s">
        <v>64</v>
      </c>
      <c r="C42" s="32">
        <v>53013</v>
      </c>
      <c r="D42" s="44">
        <v>2.7761468884990474</v>
      </c>
    </row>
    <row r="43" spans="1:6">
      <c r="A43" s="67"/>
      <c r="B43" s="25" t="s">
        <v>65</v>
      </c>
      <c r="C43" s="32">
        <f>11+15+12+10+2+2+10+6</f>
        <v>68</v>
      </c>
      <c r="D43" s="19">
        <v>1031.3518999999999</v>
      </c>
    </row>
    <row r="44" spans="1:6">
      <c r="A44" s="67">
        <v>13</v>
      </c>
      <c r="B44" s="13" t="s">
        <v>83</v>
      </c>
      <c r="C44" s="32"/>
      <c r="D44" s="19"/>
    </row>
    <row r="45" spans="1:6">
      <c r="A45" s="67"/>
      <c r="B45" s="25" t="s">
        <v>64</v>
      </c>
      <c r="C45" s="32">
        <v>11167</v>
      </c>
      <c r="D45" s="44">
        <v>2.0851899943285277</v>
      </c>
    </row>
    <row r="46" spans="1:6">
      <c r="A46" s="67"/>
      <c r="B46" s="25" t="s">
        <v>65</v>
      </c>
      <c r="C46" s="32">
        <v>0</v>
      </c>
      <c r="D46" s="19">
        <v>0</v>
      </c>
    </row>
    <row r="47" spans="1:6">
      <c r="A47" s="67">
        <v>14</v>
      </c>
      <c r="B47" s="13" t="s">
        <v>84</v>
      </c>
      <c r="C47" s="32"/>
      <c r="D47" s="19"/>
    </row>
    <row r="48" spans="1:6">
      <c r="A48" s="67"/>
      <c r="B48" s="25" t="s">
        <v>64</v>
      </c>
      <c r="C48" s="32">
        <v>9696</v>
      </c>
      <c r="D48" s="44">
        <v>2.986060402915292</v>
      </c>
    </row>
    <row r="49" spans="1:4">
      <c r="A49" s="67"/>
      <c r="B49" s="25" t="s">
        <v>65</v>
      </c>
      <c r="C49" s="32">
        <v>0</v>
      </c>
      <c r="D49" s="19">
        <v>0</v>
      </c>
    </row>
    <row r="50" spans="1:4">
      <c r="A50" s="67">
        <v>15</v>
      </c>
      <c r="B50" s="42" t="s">
        <v>85</v>
      </c>
      <c r="C50" s="32"/>
      <c r="D50" s="19"/>
    </row>
    <row r="51" spans="1:4">
      <c r="A51" s="67"/>
      <c r="B51" s="25" t="s">
        <v>64</v>
      </c>
      <c r="C51" s="32">
        <v>10070</v>
      </c>
      <c r="D51" s="44">
        <v>2.2605974842767296</v>
      </c>
    </row>
    <row r="52" spans="1:4">
      <c r="A52" s="67"/>
      <c r="B52" s="25" t="s">
        <v>65</v>
      </c>
      <c r="C52" s="32">
        <v>10</v>
      </c>
      <c r="D52" s="19">
        <v>931.87211000000002</v>
      </c>
    </row>
    <row r="53" spans="1:4">
      <c r="A53" s="67">
        <v>16</v>
      </c>
      <c r="B53" s="13" t="s">
        <v>73</v>
      </c>
      <c r="C53" s="18"/>
      <c r="D53" s="26"/>
    </row>
    <row r="54" spans="1:4">
      <c r="A54" s="45"/>
      <c r="B54" s="25" t="s">
        <v>64</v>
      </c>
      <c r="C54" s="18"/>
      <c r="D54" s="19"/>
    </row>
    <row r="55" spans="1:4">
      <c r="A55" s="45"/>
      <c r="B55" s="25" t="s">
        <v>65</v>
      </c>
      <c r="C55" s="18"/>
      <c r="D55" s="26"/>
    </row>
    <row r="56" spans="1:4" s="15" customFormat="1">
      <c r="A56" s="67">
        <v>17</v>
      </c>
      <c r="B56" s="13" t="s">
        <v>74</v>
      </c>
      <c r="C56" s="21"/>
      <c r="D56" s="22"/>
    </row>
    <row r="57" spans="1:4">
      <c r="A57" s="45"/>
      <c r="B57" s="17" t="s">
        <v>64</v>
      </c>
      <c r="C57" s="32">
        <v>8248628</v>
      </c>
      <c r="D57" s="44">
        <v>2.9053594003754322</v>
      </c>
    </row>
    <row r="58" spans="1:4">
      <c r="A58" s="45"/>
      <c r="B58" s="17" t="s">
        <v>65</v>
      </c>
      <c r="C58" s="32">
        <v>0</v>
      </c>
      <c r="D58" s="19">
        <v>0</v>
      </c>
    </row>
    <row r="59" spans="1:4">
      <c r="A59" s="67">
        <v>18</v>
      </c>
      <c r="B59" s="13" t="s">
        <v>75</v>
      </c>
      <c r="C59" s="18"/>
      <c r="D59" s="19"/>
    </row>
    <row r="60" spans="1:4">
      <c r="A60" s="45"/>
      <c r="B60" s="25" t="s">
        <v>64</v>
      </c>
      <c r="C60" s="18">
        <v>0</v>
      </c>
      <c r="D60" s="19">
        <v>0</v>
      </c>
    </row>
    <row r="61" spans="1:4">
      <c r="A61" s="45"/>
      <c r="B61" s="25" t="s">
        <v>65</v>
      </c>
      <c r="C61" s="18">
        <v>0</v>
      </c>
      <c r="D61" s="19">
        <v>0</v>
      </c>
    </row>
    <row r="62" spans="1:4">
      <c r="A62" s="76" t="s">
        <v>76</v>
      </c>
      <c r="B62" s="76"/>
      <c r="C62" s="33">
        <f>C9+C12++C15+C18+C21+C24+C27+C30+C33+C36+C39+C42+C45+C48+C51+C57+C60</f>
        <v>11392672.697999999</v>
      </c>
      <c r="D62" s="64"/>
    </row>
    <row r="63" spans="1:4">
      <c r="A63" s="76" t="s">
        <v>77</v>
      </c>
      <c r="B63" s="76"/>
      <c r="C63" s="33">
        <f>C10+C16+C19+C22+C25+C28+C31+C34+C37+C40+C43+C46+C49+C52+C58+C61+C13</f>
        <v>4762.6710000000003</v>
      </c>
      <c r="D63" s="64"/>
    </row>
    <row r="66" spans="3:3">
      <c r="C66" s="35"/>
    </row>
    <row r="67" spans="3:3">
      <c r="C67" s="47"/>
    </row>
    <row r="68" spans="3:3">
      <c r="C68" s="48"/>
    </row>
    <row r="69" spans="3:3">
      <c r="C69" s="48"/>
    </row>
    <row r="70" spans="3:3">
      <c r="C70" s="47"/>
    </row>
    <row r="71" spans="3:3">
      <c r="C71" s="48"/>
    </row>
    <row r="78" spans="3:3">
      <c r="C78" s="48"/>
    </row>
  </sheetData>
  <mergeCells count="8">
    <mergeCell ref="A62:B62"/>
    <mergeCell ref="A63:B63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B8AC-6D70-4698-94A2-11EB0FDAFC3F}">
  <sheetPr>
    <pageSetUpPr fitToPage="1"/>
  </sheetPr>
  <dimension ref="B1:M17"/>
  <sheetViews>
    <sheetView zoomScale="60" zoomScaleNormal="60" workbookViewId="0">
      <selection activeCell="D17" sqref="D17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4" width="22.28515625" style="8" customWidth="1"/>
    <col min="5" max="6" width="21.5703125" style="8" customWidth="1"/>
    <col min="7" max="8" width="23.7109375" style="8" customWidth="1"/>
    <col min="9" max="10" width="23.85546875" style="8" customWidth="1"/>
    <col min="11" max="11" width="28" style="8" customWidth="1"/>
    <col min="12" max="12" width="22.140625" style="8" customWidth="1"/>
    <col min="13" max="13" width="22.7109375" style="8" customWidth="1"/>
    <col min="14" max="16384" width="9.140625" style="8"/>
  </cols>
  <sheetData>
    <row r="1" spans="2:13" ht="15.75" customHeight="1">
      <c r="M1" s="62" t="s">
        <v>0</v>
      </c>
    </row>
    <row r="3" spans="2:13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ht="24.75" customHeight="1">
      <c r="B4" s="70" t="s">
        <v>21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3" ht="63">
      <c r="B5" s="71" t="s">
        <v>3</v>
      </c>
      <c r="C5" s="71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22</v>
      </c>
    </row>
    <row r="6" spans="2:13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</row>
    <row r="7" spans="2:13">
      <c r="B7" s="6" t="s">
        <v>15</v>
      </c>
      <c r="C7" s="7">
        <f>SUM(C8:C11)</f>
        <v>4554557</v>
      </c>
      <c r="D7" s="7">
        <f t="shared" ref="D7:M7" si="0">SUM(D8:D11)</f>
        <v>3202666</v>
      </c>
      <c r="E7" s="61">
        <f t="shared" si="0"/>
        <v>350428</v>
      </c>
      <c r="F7" s="7">
        <f t="shared" si="0"/>
        <v>17877</v>
      </c>
      <c r="G7" s="7">
        <f t="shared" si="0"/>
        <v>27806</v>
      </c>
      <c r="H7" s="7">
        <f t="shared" si="0"/>
        <v>23983</v>
      </c>
      <c r="I7" s="7">
        <f t="shared" si="0"/>
        <v>96359</v>
      </c>
      <c r="J7" s="7">
        <f t="shared" si="0"/>
        <v>71164</v>
      </c>
      <c r="K7" s="7">
        <f t="shared" si="0"/>
        <v>20383</v>
      </c>
      <c r="L7" s="7">
        <f t="shared" si="0"/>
        <v>30680</v>
      </c>
      <c r="M7" s="7">
        <f t="shared" si="0"/>
        <v>713211</v>
      </c>
    </row>
    <row r="8" spans="2:13">
      <c r="B8" s="3" t="s">
        <v>16</v>
      </c>
      <c r="C8" s="7">
        <f>SUM(D8:M8)</f>
        <v>510855</v>
      </c>
      <c r="D8" s="1">
        <v>510855</v>
      </c>
      <c r="E8" s="55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</row>
    <row r="9" spans="2:13">
      <c r="B9" s="3" t="s">
        <v>18</v>
      </c>
      <c r="C9" s="7">
        <f>SUM(D9:M9)</f>
        <v>1003907</v>
      </c>
      <c r="D9" s="1">
        <v>290696</v>
      </c>
      <c r="E9" s="55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>
        <v>713211</v>
      </c>
    </row>
    <row r="10" spans="2:13">
      <c r="B10" s="3" t="s">
        <v>19</v>
      </c>
      <c r="C10" s="7">
        <f>SUM(D10:M10)</f>
        <v>2963862</v>
      </c>
      <c r="D10" s="1">
        <v>2334351</v>
      </c>
      <c r="E10" s="55">
        <v>350388</v>
      </c>
      <c r="F10" s="1">
        <v>17877</v>
      </c>
      <c r="G10" s="1">
        <v>27806</v>
      </c>
      <c r="H10" s="1">
        <v>23983</v>
      </c>
      <c r="I10" s="1">
        <v>96359</v>
      </c>
      <c r="J10" s="1">
        <v>71164</v>
      </c>
      <c r="K10" s="1">
        <v>20383</v>
      </c>
      <c r="L10" s="1">
        <v>21551</v>
      </c>
      <c r="M10" s="1" t="s">
        <v>17</v>
      </c>
    </row>
    <row r="11" spans="2:13">
      <c r="B11" s="3" t="s">
        <v>20</v>
      </c>
      <c r="C11" s="7">
        <f>SUM(D11:M11)</f>
        <v>75933</v>
      </c>
      <c r="D11" s="1">
        <v>66764</v>
      </c>
      <c r="E11" s="55">
        <v>40</v>
      </c>
      <c r="F11" s="1" t="s">
        <v>17</v>
      </c>
      <c r="G11" s="1" t="s">
        <v>17</v>
      </c>
      <c r="H11" s="1" t="s">
        <v>17</v>
      </c>
      <c r="I11" s="1" t="s">
        <v>17</v>
      </c>
      <c r="J11" s="1" t="s">
        <v>17</v>
      </c>
      <c r="K11" s="1" t="s">
        <v>17</v>
      </c>
      <c r="L11" s="1">
        <v>9129</v>
      </c>
      <c r="M11" s="1" t="s">
        <v>17</v>
      </c>
    </row>
    <row r="13" spans="2:13">
      <c r="C13" s="52"/>
    </row>
    <row r="14" spans="2:13">
      <c r="C14" s="53"/>
    </row>
    <row r="15" spans="2:13">
      <c r="E15" s="31"/>
    </row>
    <row r="16" spans="2:13">
      <c r="C16" s="47"/>
    </row>
    <row r="17" spans="3:3">
      <c r="C17" s="54"/>
    </row>
  </sheetData>
  <mergeCells count="4">
    <mergeCell ref="B3:M3"/>
    <mergeCell ref="B4:M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DEBD-7295-4AFE-9F4D-CA24AE3BC37F}">
  <sheetPr>
    <pageSetUpPr fitToPage="1"/>
  </sheetPr>
  <dimension ref="A1:J78"/>
  <sheetViews>
    <sheetView topLeftCell="A28" zoomScale="87" zoomScaleNormal="87" workbookViewId="0">
      <selection activeCell="E11" sqref="E11"/>
    </sheetView>
  </sheetViews>
  <sheetFormatPr defaultRowHeight="15.75"/>
  <cols>
    <col min="1" max="1" width="9.140625" style="11"/>
    <col min="2" max="2" width="49.710937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44013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63</v>
      </c>
      <c r="C8" s="21"/>
      <c r="D8" s="22"/>
    </row>
    <row r="9" spans="1:10">
      <c r="A9" s="67"/>
      <c r="B9" s="17" t="s">
        <v>64</v>
      </c>
      <c r="C9" s="32">
        <v>1664007</v>
      </c>
      <c r="D9" s="19">
        <v>3.5755987404700424</v>
      </c>
      <c r="F9" s="35"/>
      <c r="G9" s="23"/>
    </row>
    <row r="10" spans="1:10">
      <c r="A10" s="67"/>
      <c r="B10" s="17" t="s">
        <v>65</v>
      </c>
      <c r="C10" s="32">
        <v>2691</v>
      </c>
      <c r="D10" s="19">
        <v>909.92904999999996</v>
      </c>
      <c r="E10" s="24"/>
    </row>
    <row r="11" spans="1:10" s="15" customFormat="1">
      <c r="A11" s="67">
        <v>2</v>
      </c>
      <c r="B11" s="13" t="s">
        <v>66</v>
      </c>
      <c r="C11" s="21"/>
      <c r="D11" s="22"/>
    </row>
    <row r="12" spans="1:10">
      <c r="A12" s="67"/>
      <c r="B12" s="25" t="s">
        <v>64</v>
      </c>
      <c r="C12" s="32">
        <v>305357</v>
      </c>
      <c r="D12" s="19">
        <v>2.8127068480499875</v>
      </c>
    </row>
    <row r="13" spans="1:10">
      <c r="A13" s="67"/>
      <c r="B13" s="25" t="s">
        <v>65</v>
      </c>
      <c r="C13" s="11">
        <f>15+27+10+24+27+14+6+15+13+137+42+35</f>
        <v>365</v>
      </c>
      <c r="D13" s="19">
        <f>881.50206</f>
        <v>881.50206000000003</v>
      </c>
    </row>
    <row r="14" spans="1:10" s="15" customFormat="1">
      <c r="A14" s="67">
        <v>3</v>
      </c>
      <c r="B14" s="13" t="s">
        <v>81</v>
      </c>
      <c r="C14" s="40"/>
      <c r="D14" s="40"/>
    </row>
    <row r="15" spans="1:10">
      <c r="A15" s="67"/>
      <c r="B15" s="25" t="s">
        <v>64</v>
      </c>
      <c r="C15" s="32">
        <v>6751</v>
      </c>
      <c r="D15" s="41">
        <v>2.7166135881104037</v>
      </c>
    </row>
    <row r="16" spans="1:10">
      <c r="A16" s="67"/>
      <c r="B16" s="25" t="s">
        <v>65</v>
      </c>
      <c r="C16" s="39">
        <v>8.4499999999999993</v>
      </c>
      <c r="D16" s="41">
        <v>882.65057999999999</v>
      </c>
    </row>
    <row r="17" spans="1:4">
      <c r="A17" s="67">
        <v>4</v>
      </c>
      <c r="B17" s="13" t="s">
        <v>68</v>
      </c>
      <c r="C17" s="21"/>
      <c r="D17" s="22"/>
    </row>
    <row r="18" spans="1:4">
      <c r="A18" s="67"/>
      <c r="B18" s="25" t="s">
        <v>64</v>
      </c>
      <c r="C18" s="32">
        <v>30147</v>
      </c>
      <c r="D18" s="19">
        <v>2.839190190289802</v>
      </c>
    </row>
    <row r="19" spans="1:4">
      <c r="A19" s="67"/>
      <c r="B19" s="25" t="s">
        <v>65</v>
      </c>
      <c r="C19" s="32">
        <f>20.641+15.296</f>
        <v>35.936999999999998</v>
      </c>
      <c r="D19" s="19">
        <v>883.71460999999999</v>
      </c>
    </row>
    <row r="20" spans="1:4">
      <c r="A20" s="67">
        <v>5</v>
      </c>
      <c r="B20" s="13" t="s">
        <v>69</v>
      </c>
      <c r="C20" s="32"/>
      <c r="D20" s="19"/>
    </row>
    <row r="21" spans="1:4">
      <c r="A21" s="67"/>
      <c r="B21" s="25" t="s">
        <v>64</v>
      </c>
      <c r="C21" s="32">
        <v>88425</v>
      </c>
      <c r="D21" s="19">
        <v>2.913659692771652</v>
      </c>
    </row>
    <row r="22" spans="1:4">
      <c r="A22" s="67"/>
      <c r="B22" s="25" t="s">
        <v>65</v>
      </c>
      <c r="C22" s="32">
        <v>104</v>
      </c>
      <c r="D22" s="19">
        <v>881.49026000000003</v>
      </c>
    </row>
    <row r="23" spans="1:4">
      <c r="A23" s="67">
        <v>6</v>
      </c>
      <c r="B23" s="13" t="s">
        <v>70</v>
      </c>
      <c r="C23" s="32"/>
      <c r="D23" s="19"/>
    </row>
    <row r="24" spans="1:4">
      <c r="A24" s="67"/>
      <c r="B24" s="25" t="s">
        <v>64</v>
      </c>
      <c r="C24" s="32">
        <v>47683</v>
      </c>
      <c r="D24" s="19">
        <v>2.9110519821879217</v>
      </c>
    </row>
    <row r="25" spans="1:4">
      <c r="A25" s="67"/>
      <c r="B25" s="25" t="s">
        <v>65</v>
      </c>
      <c r="C25" s="32">
        <f>55+14</f>
        <v>69</v>
      </c>
      <c r="D25" s="19">
        <v>937.15562999999997</v>
      </c>
    </row>
    <row r="26" spans="1:4">
      <c r="A26" s="67">
        <v>7</v>
      </c>
      <c r="B26" s="13" t="s">
        <v>71</v>
      </c>
      <c r="C26" s="32"/>
      <c r="D26" s="19"/>
    </row>
    <row r="27" spans="1:4">
      <c r="A27" s="67"/>
      <c r="B27" s="25" t="s">
        <v>64</v>
      </c>
      <c r="C27" s="32">
        <v>17232.352999999999</v>
      </c>
      <c r="D27" s="19">
        <v>3.2596796270364243</v>
      </c>
    </row>
    <row r="28" spans="1:4">
      <c r="A28" s="67"/>
      <c r="B28" s="25" t="s">
        <v>65</v>
      </c>
      <c r="C28" s="32">
        <v>0</v>
      </c>
      <c r="D28" s="19">
        <v>0</v>
      </c>
    </row>
    <row r="29" spans="1:4">
      <c r="A29" s="67">
        <v>8</v>
      </c>
      <c r="B29" s="13" t="s">
        <v>72</v>
      </c>
      <c r="C29" s="18"/>
      <c r="D29" s="19"/>
    </row>
    <row r="30" spans="1:4">
      <c r="A30" s="67"/>
      <c r="B30" s="25" t="s">
        <v>64</v>
      </c>
      <c r="C30" s="32">
        <v>13055</v>
      </c>
      <c r="D30" s="19">
        <v>3.4742697561598375</v>
      </c>
    </row>
    <row r="31" spans="1:4">
      <c r="A31" s="67"/>
      <c r="B31" s="25" t="s">
        <v>65</v>
      </c>
      <c r="C31" s="32">
        <v>0</v>
      </c>
      <c r="D31" s="19">
        <v>0</v>
      </c>
    </row>
    <row r="32" spans="1:4">
      <c r="A32" s="67">
        <v>9</v>
      </c>
      <c r="B32" s="13" t="s">
        <v>78</v>
      </c>
      <c r="C32" s="32"/>
      <c r="D32" s="19"/>
    </row>
    <row r="33" spans="1:6">
      <c r="A33" s="67"/>
      <c r="B33" s="25" t="s">
        <v>64</v>
      </c>
      <c r="C33" s="32">
        <v>1376636</v>
      </c>
      <c r="D33" s="19">
        <v>2.8616423295627897</v>
      </c>
    </row>
    <row r="34" spans="1:6">
      <c r="A34" s="67"/>
      <c r="B34" s="25" t="s">
        <v>65</v>
      </c>
      <c r="C34" s="32">
        <f>2039.912+25.02</f>
        <v>2064.9320000000002</v>
      </c>
      <c r="D34" s="19">
        <v>883.82285999999999</v>
      </c>
    </row>
    <row r="35" spans="1:6">
      <c r="A35" s="67">
        <v>10</v>
      </c>
      <c r="B35" s="13" t="s">
        <v>82</v>
      </c>
      <c r="C35" s="32"/>
      <c r="D35" s="19"/>
    </row>
    <row r="36" spans="1:6">
      <c r="A36" s="67"/>
      <c r="B36" s="25" t="s">
        <v>64</v>
      </c>
      <c r="C36" s="32">
        <v>6802</v>
      </c>
      <c r="D36" s="19">
        <v>1.4521844065470941</v>
      </c>
    </row>
    <row r="37" spans="1:6">
      <c r="A37" s="67"/>
      <c r="B37" s="25" t="s">
        <v>65</v>
      </c>
      <c r="C37" s="32">
        <v>8</v>
      </c>
      <c r="D37" s="19">
        <v>882.27377000000001</v>
      </c>
    </row>
    <row r="38" spans="1:6">
      <c r="A38" s="67">
        <v>11</v>
      </c>
      <c r="B38" s="13" t="s">
        <v>79</v>
      </c>
      <c r="C38" s="32"/>
      <c r="D38" s="19"/>
    </row>
    <row r="39" spans="1:6">
      <c r="A39" s="67"/>
      <c r="B39" s="25" t="s">
        <v>64</v>
      </c>
      <c r="C39" s="32">
        <v>31186</v>
      </c>
      <c r="D39" s="19">
        <v>2.9218268346907803</v>
      </c>
      <c r="F39" s="35"/>
    </row>
    <row r="40" spans="1:6">
      <c r="A40" s="67"/>
      <c r="B40" s="25" t="s">
        <v>65</v>
      </c>
      <c r="C40" s="32">
        <f>24+4+6</f>
        <v>34</v>
      </c>
      <c r="D40" s="19">
        <v>899.86987999999997</v>
      </c>
    </row>
    <row r="41" spans="1:6">
      <c r="A41" s="67">
        <v>12</v>
      </c>
      <c r="B41" s="13" t="s">
        <v>80</v>
      </c>
      <c r="C41" s="32"/>
      <c r="D41" s="44"/>
    </row>
    <row r="42" spans="1:6">
      <c r="A42" s="67"/>
      <c r="B42" s="25" t="s">
        <v>64</v>
      </c>
      <c r="C42" s="32">
        <v>56962</v>
      </c>
      <c r="D42" s="44">
        <v>2.9304078449960791</v>
      </c>
    </row>
    <row r="43" spans="1:6">
      <c r="A43" s="67"/>
      <c r="B43" s="25" t="s">
        <v>65</v>
      </c>
      <c r="C43" s="32">
        <f>12+16+14+11+1+2+11+7</f>
        <v>74</v>
      </c>
      <c r="D43" s="19">
        <v>986.03107</v>
      </c>
    </row>
    <row r="44" spans="1:6">
      <c r="A44" s="67">
        <v>13</v>
      </c>
      <c r="B44" s="13" t="s">
        <v>83</v>
      </c>
      <c r="C44" s="32"/>
      <c r="D44" s="19"/>
    </row>
    <row r="45" spans="1:6">
      <c r="A45" s="67"/>
      <c r="B45" s="25" t="s">
        <v>64</v>
      </c>
      <c r="C45" s="32">
        <v>8445</v>
      </c>
      <c r="D45" s="44">
        <v>2.3549003355042437</v>
      </c>
    </row>
    <row r="46" spans="1:6">
      <c r="A46" s="67"/>
      <c r="B46" s="25" t="s">
        <v>65</v>
      </c>
      <c r="C46" s="32">
        <v>0</v>
      </c>
      <c r="D46" s="19">
        <v>0</v>
      </c>
    </row>
    <row r="47" spans="1:6">
      <c r="A47" s="67">
        <v>14</v>
      </c>
      <c r="B47" s="13" t="s">
        <v>84</v>
      </c>
      <c r="C47" s="32"/>
      <c r="D47" s="19"/>
    </row>
    <row r="48" spans="1:6">
      <c r="A48" s="67"/>
      <c r="B48" s="25" t="s">
        <v>64</v>
      </c>
      <c r="C48" s="32">
        <v>9653</v>
      </c>
      <c r="D48" s="44">
        <v>3.3741393003902074</v>
      </c>
    </row>
    <row r="49" spans="1:4">
      <c r="A49" s="67"/>
      <c r="B49" s="25" t="s">
        <v>65</v>
      </c>
      <c r="C49" s="32">
        <v>0</v>
      </c>
      <c r="D49" s="19">
        <v>0</v>
      </c>
    </row>
    <row r="50" spans="1:4">
      <c r="A50" s="67">
        <v>15</v>
      </c>
      <c r="B50" s="42" t="s">
        <v>85</v>
      </c>
      <c r="C50" s="32"/>
      <c r="D50" s="19"/>
    </row>
    <row r="51" spans="1:4">
      <c r="A51" s="67"/>
      <c r="B51" s="25" t="s">
        <v>64</v>
      </c>
      <c r="C51" s="32">
        <v>11395</v>
      </c>
      <c r="D51" s="44">
        <v>2.4378813807225392</v>
      </c>
    </row>
    <row r="52" spans="1:4">
      <c r="A52" s="67"/>
      <c r="B52" s="25" t="s">
        <v>65</v>
      </c>
      <c r="C52" s="32">
        <v>12</v>
      </c>
      <c r="D52" s="19">
        <v>884.21687999999995</v>
      </c>
    </row>
    <row r="53" spans="1:4">
      <c r="A53" s="67">
        <v>16</v>
      </c>
      <c r="B53" s="13" t="s">
        <v>73</v>
      </c>
      <c r="C53" s="18"/>
      <c r="D53" s="26"/>
    </row>
    <row r="54" spans="1:4">
      <c r="A54" s="45"/>
      <c r="B54" s="25" t="s">
        <v>64</v>
      </c>
      <c r="C54" s="18"/>
      <c r="D54" s="19"/>
    </row>
    <row r="55" spans="1:4">
      <c r="A55" s="45"/>
      <c r="B55" s="25" t="s">
        <v>65</v>
      </c>
      <c r="C55" s="18"/>
      <c r="D55" s="26"/>
    </row>
    <row r="56" spans="1:4" s="15" customFormat="1">
      <c r="A56" s="67">
        <v>17</v>
      </c>
      <c r="B56" s="13" t="s">
        <v>74</v>
      </c>
      <c r="C56" s="21"/>
      <c r="D56" s="22"/>
    </row>
    <row r="57" spans="1:4">
      <c r="A57" s="45"/>
      <c r="B57" s="17" t="s">
        <v>64</v>
      </c>
      <c r="C57" s="32">
        <v>6776647</v>
      </c>
      <c r="D57" s="44">
        <v>2.7666907112519414</v>
      </c>
    </row>
    <row r="58" spans="1:4">
      <c r="A58" s="45"/>
      <c r="B58" s="17" t="s">
        <v>65</v>
      </c>
      <c r="C58" s="32">
        <v>0</v>
      </c>
      <c r="D58" s="19">
        <v>0</v>
      </c>
    </row>
    <row r="59" spans="1:4">
      <c r="A59" s="67">
        <v>18</v>
      </c>
      <c r="B59" s="13" t="s">
        <v>75</v>
      </c>
      <c r="C59" s="18"/>
      <c r="D59" s="19"/>
    </row>
    <row r="60" spans="1:4">
      <c r="A60" s="45"/>
      <c r="B60" s="25" t="s">
        <v>64</v>
      </c>
      <c r="C60" s="18">
        <v>0</v>
      </c>
      <c r="D60" s="19">
        <v>0</v>
      </c>
    </row>
    <row r="61" spans="1:4">
      <c r="A61" s="45"/>
      <c r="B61" s="25" t="s">
        <v>65</v>
      </c>
      <c r="C61" s="18">
        <v>0</v>
      </c>
      <c r="D61" s="19">
        <v>0</v>
      </c>
    </row>
    <row r="62" spans="1:4">
      <c r="A62" s="76" t="s">
        <v>76</v>
      </c>
      <c r="B62" s="76"/>
      <c r="C62" s="33">
        <f>C9+C12++C15+C18+C21+C24+C27+C30+C33+C36+C39+C42+C45+C48+C51+C57+C60</f>
        <v>10450383.353</v>
      </c>
      <c r="D62" s="64"/>
    </row>
    <row r="63" spans="1:4">
      <c r="A63" s="76" t="s">
        <v>77</v>
      </c>
      <c r="B63" s="76"/>
      <c r="C63" s="33">
        <f>C10+C16+C19+C22+C25+C28+C31+C34+C37+C40+C43+C46+C49+C52+C58+C61+C13</f>
        <v>5466.3189999999995</v>
      </c>
      <c r="D63" s="64"/>
    </row>
    <row r="66" spans="3:3">
      <c r="C66" s="35"/>
    </row>
    <row r="67" spans="3:3">
      <c r="C67" s="47"/>
    </row>
    <row r="68" spans="3:3">
      <c r="C68" s="48"/>
    </row>
    <row r="69" spans="3:3">
      <c r="C69" s="48"/>
    </row>
    <row r="70" spans="3:3">
      <c r="C70" s="47"/>
    </row>
    <row r="71" spans="3:3">
      <c r="C71" s="48"/>
    </row>
    <row r="78" spans="3:3">
      <c r="C78" s="48"/>
    </row>
  </sheetData>
  <mergeCells count="8">
    <mergeCell ref="A62:B62"/>
    <mergeCell ref="A63:B63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121E-DDCC-498A-A88C-2741B56924C7}">
  <sheetPr>
    <pageSetUpPr fitToPage="1"/>
  </sheetPr>
  <dimension ref="A1:J87"/>
  <sheetViews>
    <sheetView topLeftCell="A40" zoomScale="87" zoomScaleNormal="87" workbookViewId="0">
      <selection activeCell="C73" sqref="C73"/>
    </sheetView>
  </sheetViews>
  <sheetFormatPr defaultRowHeight="15.75"/>
  <cols>
    <col min="1" max="1" width="9.140625" style="11"/>
    <col min="2" max="2" width="52.1406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44044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63</v>
      </c>
      <c r="C8" s="21"/>
      <c r="D8" s="22"/>
    </row>
    <row r="9" spans="1:10">
      <c r="A9" s="67"/>
      <c r="B9" s="17" t="s">
        <v>64</v>
      </c>
      <c r="C9" s="32">
        <v>1730270</v>
      </c>
      <c r="D9" s="19">
        <v>3.5601519175234695</v>
      </c>
      <c r="F9" s="35"/>
      <c r="G9" s="23"/>
    </row>
    <row r="10" spans="1:10">
      <c r="A10" s="67"/>
      <c r="B10" s="17" t="s">
        <v>65</v>
      </c>
      <c r="C10" s="32">
        <f>6+58+65+6+12+43+1+450+697+1037+15+10+93+173</f>
        <v>2666</v>
      </c>
      <c r="D10" s="19">
        <v>928.08947999999998</v>
      </c>
      <c r="E10" s="24"/>
    </row>
    <row r="11" spans="1:10" s="15" customFormat="1">
      <c r="A11" s="67">
        <v>2</v>
      </c>
      <c r="B11" s="13" t="s">
        <v>66</v>
      </c>
      <c r="C11" s="21"/>
      <c r="D11" s="22"/>
    </row>
    <row r="12" spans="1:10">
      <c r="A12" s="67"/>
      <c r="B12" s="25" t="s">
        <v>64</v>
      </c>
      <c r="C12" s="32">
        <v>397296</v>
      </c>
      <c r="D12" s="19">
        <v>2.9560641813660351</v>
      </c>
    </row>
    <row r="13" spans="1:10">
      <c r="A13" s="67"/>
      <c r="B13" s="25" t="s">
        <v>65</v>
      </c>
      <c r="C13" s="11">
        <f>35+32+89+7+34+15+39+90+137+13+15+10+19</f>
        <v>535</v>
      </c>
      <c r="D13" s="19">
        <v>901.43921</v>
      </c>
    </row>
    <row r="14" spans="1:10" s="15" customFormat="1">
      <c r="A14" s="67">
        <v>3</v>
      </c>
      <c r="B14" s="13" t="s">
        <v>81</v>
      </c>
      <c r="C14" s="40"/>
      <c r="D14" s="40"/>
    </row>
    <row r="15" spans="1:10">
      <c r="A15" s="67"/>
      <c r="B15" s="25" t="s">
        <v>64</v>
      </c>
      <c r="C15" s="32">
        <v>6735</v>
      </c>
      <c r="D15" s="41">
        <v>2.9376243504083148</v>
      </c>
    </row>
    <row r="16" spans="1:10">
      <c r="A16" s="67"/>
      <c r="B16" s="25" t="s">
        <v>65</v>
      </c>
      <c r="C16" s="39">
        <v>9.76</v>
      </c>
      <c r="D16" s="41">
        <v>903.50852999999995</v>
      </c>
    </row>
    <row r="17" spans="1:4">
      <c r="A17" s="67">
        <v>4</v>
      </c>
      <c r="B17" s="13" t="s">
        <v>68</v>
      </c>
      <c r="C17" s="21"/>
      <c r="D17" s="22"/>
    </row>
    <row r="18" spans="1:4">
      <c r="A18" s="67"/>
      <c r="B18" s="25" t="s">
        <v>64</v>
      </c>
      <c r="C18" s="32">
        <v>29912</v>
      </c>
      <c r="D18" s="19">
        <v>2.7787328942676295</v>
      </c>
    </row>
    <row r="19" spans="1:4">
      <c r="A19" s="67"/>
      <c r="B19" s="25" t="s">
        <v>65</v>
      </c>
      <c r="C19" s="32">
        <f>14.76+19.316</f>
        <v>34.076000000000001</v>
      </c>
      <c r="D19" s="19">
        <v>903.77980000000002</v>
      </c>
    </row>
    <row r="20" spans="1:4">
      <c r="A20" s="67">
        <v>5</v>
      </c>
      <c r="B20" s="13" t="s">
        <v>69</v>
      </c>
      <c r="C20" s="32"/>
      <c r="D20" s="19"/>
    </row>
    <row r="21" spans="1:4">
      <c r="A21" s="67"/>
      <c r="B21" s="25" t="s">
        <v>64</v>
      </c>
      <c r="C21" s="32">
        <v>95830</v>
      </c>
      <c r="D21" s="19">
        <v>2.9118485860377752</v>
      </c>
    </row>
    <row r="22" spans="1:4">
      <c r="A22" s="67"/>
      <c r="B22" s="25" t="s">
        <v>65</v>
      </c>
      <c r="C22" s="32">
        <v>92</v>
      </c>
      <c r="D22" s="19">
        <v>900.9162</v>
      </c>
    </row>
    <row r="23" spans="1:4">
      <c r="A23" s="67">
        <v>6</v>
      </c>
      <c r="B23" s="13" t="s">
        <v>70</v>
      </c>
      <c r="C23" s="32"/>
      <c r="D23" s="19"/>
    </row>
    <row r="24" spans="1:4">
      <c r="A24" s="67"/>
      <c r="B24" s="25" t="s">
        <v>64</v>
      </c>
      <c r="C24" s="32">
        <v>307036</v>
      </c>
      <c r="D24" s="19">
        <v>3.0203959796245394</v>
      </c>
    </row>
    <row r="25" spans="1:4">
      <c r="A25" s="67"/>
      <c r="B25" s="25" t="s">
        <v>65</v>
      </c>
      <c r="C25" s="32">
        <f>51+14+91+44+13+13+16+12+17+11+14+11+11+7+12+15+13+17+18+13+15+14</f>
        <v>442</v>
      </c>
      <c r="D25" s="19">
        <v>951.39941999999996</v>
      </c>
    </row>
    <row r="26" spans="1:4">
      <c r="A26" s="67">
        <v>7</v>
      </c>
      <c r="B26" s="13" t="s">
        <v>86</v>
      </c>
      <c r="C26" s="32"/>
      <c r="D26" s="19"/>
    </row>
    <row r="27" spans="1:4">
      <c r="A27" s="67"/>
      <c r="B27" s="25" t="s">
        <v>64</v>
      </c>
      <c r="C27" s="32">
        <v>10775</v>
      </c>
      <c r="D27" s="51">
        <v>2.6691956689868519</v>
      </c>
    </row>
    <row r="28" spans="1:4">
      <c r="A28" s="67"/>
      <c r="B28" s="25" t="s">
        <v>65</v>
      </c>
      <c r="C28" s="32">
        <v>0</v>
      </c>
      <c r="D28" s="19">
        <v>0</v>
      </c>
    </row>
    <row r="29" spans="1:4">
      <c r="A29" s="67">
        <v>8</v>
      </c>
      <c r="B29" s="13" t="s">
        <v>71</v>
      </c>
      <c r="C29" s="32"/>
      <c r="D29" s="19"/>
    </row>
    <row r="30" spans="1:4">
      <c r="A30" s="67"/>
      <c r="B30" s="25" t="s">
        <v>64</v>
      </c>
      <c r="C30" s="32">
        <v>16574</v>
      </c>
      <c r="D30" s="19">
        <v>3.4385473231165284</v>
      </c>
    </row>
    <row r="31" spans="1:4">
      <c r="A31" s="67"/>
      <c r="B31" s="25" t="s">
        <v>65</v>
      </c>
      <c r="C31" s="32">
        <v>0</v>
      </c>
      <c r="D31" s="19">
        <v>0</v>
      </c>
    </row>
    <row r="32" spans="1:4">
      <c r="A32" s="67">
        <v>9</v>
      </c>
      <c r="B32" s="13" t="s">
        <v>72</v>
      </c>
      <c r="C32" s="18"/>
      <c r="D32" s="19"/>
    </row>
    <row r="33" spans="1:6">
      <c r="A33" s="67"/>
      <c r="B33" s="25" t="s">
        <v>64</v>
      </c>
      <c r="C33" s="32">
        <v>11841</v>
      </c>
      <c r="D33" s="19">
        <v>3.4842918672409424</v>
      </c>
    </row>
    <row r="34" spans="1:6">
      <c r="A34" s="67"/>
      <c r="B34" s="25" t="s">
        <v>65</v>
      </c>
      <c r="C34" s="32">
        <v>0</v>
      </c>
      <c r="D34" s="19">
        <v>0</v>
      </c>
    </row>
    <row r="35" spans="1:6">
      <c r="A35" s="67">
        <v>10</v>
      </c>
      <c r="B35" s="13" t="s">
        <v>78</v>
      </c>
      <c r="C35" s="32"/>
      <c r="D35" s="19"/>
    </row>
    <row r="36" spans="1:6">
      <c r="A36" s="67"/>
      <c r="B36" s="25" t="s">
        <v>64</v>
      </c>
      <c r="C36" s="32">
        <v>1141293</v>
      </c>
      <c r="D36" s="19">
        <v>3.1418497557886833</v>
      </c>
    </row>
    <row r="37" spans="1:6">
      <c r="A37" s="67"/>
      <c r="B37" s="25" t="s">
        <v>65</v>
      </c>
      <c r="C37" s="32">
        <f>1993.749+22.193</f>
        <v>2015.942</v>
      </c>
      <c r="D37" s="19">
        <v>898.62347</v>
      </c>
    </row>
    <row r="38" spans="1:6">
      <c r="A38" s="67">
        <v>11</v>
      </c>
      <c r="B38" s="13" t="s">
        <v>82</v>
      </c>
      <c r="C38" s="32"/>
      <c r="D38" s="19"/>
    </row>
    <row r="39" spans="1:6">
      <c r="A39" s="67"/>
      <c r="B39" s="25" t="s">
        <v>64</v>
      </c>
      <c r="C39" s="32">
        <v>6928</v>
      </c>
      <c r="D39" s="19">
        <v>2.6434023768283295</v>
      </c>
    </row>
    <row r="40" spans="1:6">
      <c r="A40" s="67"/>
      <c r="B40" s="25" t="s">
        <v>65</v>
      </c>
      <c r="C40" s="32">
        <v>8</v>
      </c>
      <c r="D40" s="19">
        <v>900.19138999999996</v>
      </c>
    </row>
    <row r="41" spans="1:6">
      <c r="A41" s="67">
        <v>12</v>
      </c>
      <c r="B41" s="13" t="s">
        <v>79</v>
      </c>
      <c r="C41" s="32"/>
      <c r="D41" s="19"/>
    </row>
    <row r="42" spans="1:6">
      <c r="A42" s="67"/>
      <c r="B42" s="25" t="s">
        <v>64</v>
      </c>
      <c r="C42" s="32">
        <v>32979</v>
      </c>
      <c r="D42" s="44">
        <v>2.9101117377725223</v>
      </c>
      <c r="F42" s="35"/>
    </row>
    <row r="43" spans="1:6">
      <c r="A43" s="67"/>
      <c r="B43" s="25" t="s">
        <v>65</v>
      </c>
      <c r="C43" s="32">
        <f>25+6+5</f>
        <v>36</v>
      </c>
      <c r="D43" s="19">
        <v>917.12813000000006</v>
      </c>
    </row>
    <row r="44" spans="1:6">
      <c r="A44" s="67">
        <v>13</v>
      </c>
      <c r="B44" s="13" t="s">
        <v>80</v>
      </c>
      <c r="C44" s="32"/>
      <c r="D44" s="44"/>
    </row>
    <row r="45" spans="1:6">
      <c r="A45" s="67"/>
      <c r="B45" s="25" t="s">
        <v>64</v>
      </c>
      <c r="C45" s="32">
        <v>57030</v>
      </c>
      <c r="D45" s="44">
        <v>2.9018788357005088</v>
      </c>
    </row>
    <row r="46" spans="1:6">
      <c r="A46" s="67"/>
      <c r="B46" s="25" t="s">
        <v>65</v>
      </c>
      <c r="C46" s="32">
        <f>13+12+15+7+11+10+2+2</f>
        <v>72</v>
      </c>
      <c r="D46" s="19">
        <v>990.15479000000005</v>
      </c>
    </row>
    <row r="47" spans="1:6">
      <c r="A47" s="67">
        <v>14</v>
      </c>
      <c r="B47" s="13" t="s">
        <v>83</v>
      </c>
      <c r="C47" s="32"/>
      <c r="D47" s="19"/>
    </row>
    <row r="48" spans="1:6">
      <c r="A48" s="67"/>
      <c r="B48" s="25" t="s">
        <v>64</v>
      </c>
      <c r="C48" s="32">
        <v>8357</v>
      </c>
      <c r="D48" s="44">
        <v>2.3174504407482748</v>
      </c>
    </row>
    <row r="49" spans="1:4">
      <c r="A49" s="67"/>
      <c r="B49" s="25" t="s">
        <v>65</v>
      </c>
      <c r="C49" s="32">
        <v>0</v>
      </c>
      <c r="D49" s="19">
        <v>0</v>
      </c>
    </row>
    <row r="50" spans="1:4">
      <c r="A50" s="67">
        <v>15</v>
      </c>
      <c r="B50" s="13" t="s">
        <v>84</v>
      </c>
      <c r="C50" s="32"/>
      <c r="D50" s="19"/>
    </row>
    <row r="51" spans="1:4">
      <c r="A51" s="67"/>
      <c r="B51" s="25" t="s">
        <v>64</v>
      </c>
      <c r="C51" s="32">
        <v>10019</v>
      </c>
      <c r="D51" s="44">
        <v>3.3678003460092487</v>
      </c>
    </row>
    <row r="52" spans="1:4">
      <c r="A52" s="67"/>
      <c r="B52" s="25" t="s">
        <v>65</v>
      </c>
      <c r="C52" s="32">
        <v>0</v>
      </c>
      <c r="D52" s="19">
        <v>0</v>
      </c>
    </row>
    <row r="53" spans="1:4">
      <c r="A53" s="67">
        <v>16</v>
      </c>
      <c r="B53" s="42" t="s">
        <v>85</v>
      </c>
      <c r="C53" s="32"/>
      <c r="D53" s="19"/>
    </row>
    <row r="54" spans="1:4">
      <c r="A54" s="67"/>
      <c r="B54" s="25" t="s">
        <v>64</v>
      </c>
      <c r="C54" s="32">
        <v>12382</v>
      </c>
      <c r="D54" s="44">
        <v>2.6894356054487698</v>
      </c>
    </row>
    <row r="55" spans="1:4">
      <c r="A55" s="67"/>
      <c r="B55" s="25" t="s">
        <v>65</v>
      </c>
      <c r="C55" s="32">
        <v>16</v>
      </c>
      <c r="D55" s="19">
        <v>903.86258999999995</v>
      </c>
    </row>
    <row r="56" spans="1:4">
      <c r="A56" s="67">
        <v>17</v>
      </c>
      <c r="B56" s="13" t="s">
        <v>87</v>
      </c>
      <c r="C56" s="32"/>
      <c r="D56" s="19"/>
    </row>
    <row r="57" spans="1:4">
      <c r="A57" s="67"/>
      <c r="B57" s="25" t="s">
        <v>64</v>
      </c>
      <c r="C57" s="32">
        <v>11940</v>
      </c>
      <c r="D57" s="44">
        <v>2.335110273590173</v>
      </c>
    </row>
    <row r="58" spans="1:4">
      <c r="A58" s="67"/>
      <c r="B58" s="25" t="s">
        <v>65</v>
      </c>
      <c r="C58" s="32">
        <v>14</v>
      </c>
      <c r="D58" s="19">
        <v>707.77742999999998</v>
      </c>
    </row>
    <row r="59" spans="1:4">
      <c r="A59" s="67">
        <v>18</v>
      </c>
      <c r="B59" s="13" t="s">
        <v>73</v>
      </c>
      <c r="C59" s="18"/>
      <c r="D59" s="26"/>
    </row>
    <row r="60" spans="1:4">
      <c r="A60" s="45"/>
      <c r="B60" s="25" t="s">
        <v>64</v>
      </c>
      <c r="C60" s="18"/>
      <c r="D60" s="19"/>
    </row>
    <row r="61" spans="1:4">
      <c r="A61" s="45"/>
      <c r="B61" s="25" t="s">
        <v>65</v>
      </c>
      <c r="C61" s="18"/>
      <c r="D61" s="26"/>
    </row>
    <row r="62" spans="1:4" s="15" customFormat="1">
      <c r="A62" s="67">
        <v>19</v>
      </c>
      <c r="B62" s="13" t="s">
        <v>74</v>
      </c>
      <c r="C62" s="21"/>
      <c r="D62" s="22"/>
    </row>
    <row r="63" spans="1:4">
      <c r="A63" s="45"/>
      <c r="B63" s="17" t="s">
        <v>64</v>
      </c>
      <c r="C63" s="32">
        <v>17510399</v>
      </c>
      <c r="D63" s="44">
        <v>4.5557179931574758</v>
      </c>
    </row>
    <row r="64" spans="1:4">
      <c r="A64" s="45"/>
      <c r="B64" s="17" t="s">
        <v>65</v>
      </c>
      <c r="C64" s="32">
        <v>0</v>
      </c>
      <c r="D64" s="19">
        <v>0</v>
      </c>
    </row>
    <row r="65" spans="1:4" s="15" customFormat="1">
      <c r="A65" s="67">
        <v>20</v>
      </c>
      <c r="B65" s="13" t="s">
        <v>88</v>
      </c>
      <c r="C65" s="21"/>
      <c r="D65" s="22"/>
    </row>
    <row r="66" spans="1:4">
      <c r="A66" s="45"/>
      <c r="B66" s="25" t="s">
        <v>64</v>
      </c>
      <c r="C66" s="32">
        <v>13377</v>
      </c>
      <c r="D66" s="44">
        <v>2.9497663900725128</v>
      </c>
    </row>
    <row r="67" spans="1:4">
      <c r="A67" s="45"/>
      <c r="B67" s="25" t="s">
        <v>65</v>
      </c>
      <c r="C67" s="18">
        <v>19</v>
      </c>
      <c r="D67" s="19">
        <v>951.39941999999996</v>
      </c>
    </row>
    <row r="68" spans="1:4">
      <c r="A68" s="67">
        <v>21</v>
      </c>
      <c r="B68" s="13" t="s">
        <v>75</v>
      </c>
      <c r="C68" s="18"/>
      <c r="D68" s="19"/>
    </row>
    <row r="69" spans="1:4">
      <c r="A69" s="45"/>
      <c r="B69" s="25" t="s">
        <v>64</v>
      </c>
      <c r="C69" s="18">
        <v>392734</v>
      </c>
      <c r="D69" s="19">
        <v>2.5092527639572837</v>
      </c>
    </row>
    <row r="70" spans="1:4">
      <c r="A70" s="45"/>
      <c r="B70" s="25" t="s">
        <v>65</v>
      </c>
      <c r="C70" s="18">
        <v>443</v>
      </c>
      <c r="D70" s="19">
        <v>928.20393000000001</v>
      </c>
    </row>
    <row r="71" spans="1:4">
      <c r="A71" s="76" t="s">
        <v>76</v>
      </c>
      <c r="B71" s="76"/>
      <c r="C71" s="33">
        <f>+C9+C12++C15+C18+C21+C24+C27+C30+C33+C36+C39+C42+C45+C48+C51+C54+C57+C63+C66+C69</f>
        <v>21803707</v>
      </c>
      <c r="D71" s="64"/>
    </row>
    <row r="72" spans="1:4">
      <c r="A72" s="76" t="s">
        <v>77</v>
      </c>
      <c r="B72" s="76"/>
      <c r="C72" s="33">
        <f>C10+C16+C19+C22+C25+C28+C31+C34+C37+C40+C43+C46+C49+C52+C55+C58+C64+C67+C70+C13</f>
        <v>6402.7780000000002</v>
      </c>
      <c r="D72" s="64"/>
    </row>
    <row r="75" spans="1:4">
      <c r="C75" s="35"/>
    </row>
    <row r="76" spans="1:4">
      <c r="C76" s="47"/>
    </row>
    <row r="77" spans="1:4">
      <c r="C77" s="48"/>
    </row>
    <row r="78" spans="1:4">
      <c r="C78" s="48"/>
    </row>
    <row r="79" spans="1:4">
      <c r="C79" s="47"/>
    </row>
    <row r="80" spans="1:4">
      <c r="C80" s="48"/>
    </row>
    <row r="87" spans="3:3">
      <c r="C87" s="48"/>
    </row>
  </sheetData>
  <mergeCells count="8">
    <mergeCell ref="A71:B71"/>
    <mergeCell ref="A72:B72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52A16-9BC4-4936-B5EB-E7B8170F5335}">
  <sheetPr>
    <pageSetUpPr fitToPage="1"/>
  </sheetPr>
  <dimension ref="A1:J102"/>
  <sheetViews>
    <sheetView topLeftCell="A49" zoomScale="87" zoomScaleNormal="87" workbookViewId="0">
      <selection activeCell="F43" sqref="F43"/>
    </sheetView>
  </sheetViews>
  <sheetFormatPr defaultRowHeight="15.75"/>
  <cols>
    <col min="1" max="1" width="9.140625" style="11"/>
    <col min="2" max="2" width="52.1406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44075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89</v>
      </c>
      <c r="C8" s="14"/>
      <c r="D8" s="14"/>
      <c r="H8" s="16"/>
    </row>
    <row r="9" spans="1:10">
      <c r="A9" s="67"/>
      <c r="B9" s="17" t="s">
        <v>64</v>
      </c>
      <c r="C9" s="32">
        <v>110</v>
      </c>
      <c r="D9" s="19">
        <v>2.93</v>
      </c>
      <c r="F9" s="20"/>
    </row>
    <row r="10" spans="1:10">
      <c r="A10" s="67"/>
      <c r="B10" s="17" t="s">
        <v>65</v>
      </c>
      <c r="C10" s="50">
        <v>0</v>
      </c>
      <c r="D10" s="50">
        <v>0</v>
      </c>
    </row>
    <row r="11" spans="1:10" s="15" customFormat="1">
      <c r="A11" s="67">
        <v>2</v>
      </c>
      <c r="B11" s="13" t="s">
        <v>63</v>
      </c>
      <c r="C11" s="21"/>
      <c r="D11" s="22"/>
    </row>
    <row r="12" spans="1:10">
      <c r="A12" s="67"/>
      <c r="B12" s="17" t="s">
        <v>64</v>
      </c>
      <c r="C12" s="32">
        <v>1507847</v>
      </c>
      <c r="D12" s="19">
        <v>3.5076906343946042</v>
      </c>
      <c r="F12" s="35"/>
      <c r="G12" s="23"/>
    </row>
    <row r="13" spans="1:10">
      <c r="A13" s="67"/>
      <c r="B13" s="17" t="s">
        <v>65</v>
      </c>
      <c r="C13" s="32">
        <v>2301</v>
      </c>
      <c r="D13" s="19">
        <v>952.60532999999998</v>
      </c>
      <c r="E13" s="24"/>
    </row>
    <row r="14" spans="1:10" s="15" customFormat="1">
      <c r="A14" s="67">
        <v>3</v>
      </c>
      <c r="B14" s="13" t="s">
        <v>66</v>
      </c>
      <c r="C14" s="21"/>
      <c r="D14" s="22"/>
    </row>
    <row r="15" spans="1:10">
      <c r="A15" s="67"/>
      <c r="B15" s="25" t="s">
        <v>64</v>
      </c>
      <c r="C15" s="32">
        <v>393263</v>
      </c>
      <c r="D15" s="19">
        <v>3.0381216259856636</v>
      </c>
    </row>
    <row r="16" spans="1:10">
      <c r="A16" s="67"/>
      <c r="B16" s="25" t="s">
        <v>65</v>
      </c>
      <c r="C16" s="32">
        <f>51+36+92+35+16+7+8+39</f>
        <v>284</v>
      </c>
      <c r="D16" s="19">
        <v>922.03233999999998</v>
      </c>
    </row>
    <row r="17" spans="1:4">
      <c r="A17" s="67">
        <v>4</v>
      </c>
      <c r="B17" s="38" t="s">
        <v>90</v>
      </c>
      <c r="C17" s="18"/>
      <c r="D17" s="19"/>
    </row>
    <row r="18" spans="1:4">
      <c r="A18" s="67"/>
      <c r="B18" s="25" t="s">
        <v>64</v>
      </c>
      <c r="C18" s="32">
        <v>10660</v>
      </c>
      <c r="D18" s="19">
        <v>3.0953302063789869</v>
      </c>
    </row>
    <row r="19" spans="1:4">
      <c r="A19" s="67"/>
      <c r="B19" s="25" t="s">
        <v>65</v>
      </c>
      <c r="C19" s="32">
        <v>0</v>
      </c>
      <c r="D19" s="19">
        <v>0</v>
      </c>
    </row>
    <row r="20" spans="1:4" s="15" customFormat="1">
      <c r="A20" s="67">
        <v>5</v>
      </c>
      <c r="B20" s="13" t="s">
        <v>81</v>
      </c>
      <c r="C20" s="40"/>
      <c r="D20" s="40"/>
    </row>
    <row r="21" spans="1:4">
      <c r="A21" s="67"/>
      <c r="B21" s="25" t="s">
        <v>64</v>
      </c>
      <c r="C21" s="32">
        <v>6582</v>
      </c>
      <c r="D21" s="41">
        <v>3.1307961106046798</v>
      </c>
    </row>
    <row r="22" spans="1:4">
      <c r="A22" s="67"/>
      <c r="B22" s="25" t="s">
        <v>65</v>
      </c>
      <c r="C22" s="39">
        <v>11.09</v>
      </c>
      <c r="D22" s="41">
        <v>922.87895000000003</v>
      </c>
    </row>
    <row r="23" spans="1:4">
      <c r="A23" s="67">
        <v>6</v>
      </c>
      <c r="B23" s="13" t="s">
        <v>68</v>
      </c>
      <c r="C23" s="21"/>
      <c r="D23" s="22"/>
    </row>
    <row r="24" spans="1:4">
      <c r="A24" s="67"/>
      <c r="B24" s="25" t="s">
        <v>64</v>
      </c>
      <c r="C24" s="32">
        <v>28972</v>
      </c>
      <c r="D24" s="19">
        <v>2.8146828547102949</v>
      </c>
    </row>
    <row r="25" spans="1:4">
      <c r="A25" s="67"/>
      <c r="B25" s="25" t="s">
        <v>65</v>
      </c>
      <c r="C25" s="32">
        <f>15+20.654</f>
        <v>35.653999999999996</v>
      </c>
      <c r="D25" s="19">
        <v>924.75144</v>
      </c>
    </row>
    <row r="26" spans="1:4">
      <c r="A26" s="67">
        <v>7</v>
      </c>
      <c r="B26" s="13" t="s">
        <v>69</v>
      </c>
      <c r="C26" s="32"/>
      <c r="D26" s="19"/>
    </row>
    <row r="27" spans="1:4">
      <c r="A27" s="67"/>
      <c r="B27" s="25" t="s">
        <v>64</v>
      </c>
      <c r="C27" s="32">
        <v>93034</v>
      </c>
      <c r="D27" s="19">
        <v>2.8928607820796692</v>
      </c>
    </row>
    <row r="28" spans="1:4">
      <c r="A28" s="67"/>
      <c r="B28" s="25" t="s">
        <v>65</v>
      </c>
      <c r="C28" s="32">
        <v>88</v>
      </c>
      <c r="D28" s="19">
        <v>920.89117999999996</v>
      </c>
    </row>
    <row r="29" spans="1:4">
      <c r="A29" s="67">
        <v>8</v>
      </c>
      <c r="B29" s="13" t="s">
        <v>70</v>
      </c>
      <c r="C29" s="32"/>
      <c r="D29" s="19"/>
    </row>
    <row r="30" spans="1:4">
      <c r="A30" s="67"/>
      <c r="B30" s="25" t="s">
        <v>64</v>
      </c>
      <c r="C30" s="32">
        <v>301236</v>
      </c>
      <c r="D30" s="19">
        <v>2.9554902966444914</v>
      </c>
    </row>
    <row r="31" spans="1:4">
      <c r="A31" s="67"/>
      <c r="B31" s="25" t="s">
        <v>65</v>
      </c>
      <c r="C31" s="32">
        <f>17+18+13+15+13+51+14+100+45+14+12+17+13+21+14+14+11+13+10+12+16+13</f>
        <v>466</v>
      </c>
      <c r="D31" s="19">
        <v>972.09394999999995</v>
      </c>
    </row>
    <row r="32" spans="1:4">
      <c r="A32" s="67">
        <v>9</v>
      </c>
      <c r="B32" s="13" t="s">
        <v>86</v>
      </c>
      <c r="C32" s="32"/>
      <c r="D32" s="19"/>
    </row>
    <row r="33" spans="1:4">
      <c r="A33" s="67"/>
      <c r="B33" s="25" t="s">
        <v>64</v>
      </c>
      <c r="C33" s="32">
        <v>10237</v>
      </c>
      <c r="D33" s="51">
        <v>2.6584513692162419</v>
      </c>
    </row>
    <row r="34" spans="1:4">
      <c r="A34" s="67"/>
      <c r="B34" s="25" t="s">
        <v>65</v>
      </c>
      <c r="C34" s="32">
        <v>0</v>
      </c>
      <c r="D34" s="19">
        <v>0</v>
      </c>
    </row>
    <row r="35" spans="1:4">
      <c r="A35" s="67">
        <v>10</v>
      </c>
      <c r="B35" s="13" t="s">
        <v>71</v>
      </c>
      <c r="C35" s="32"/>
      <c r="D35" s="19"/>
    </row>
    <row r="36" spans="1:4">
      <c r="A36" s="67"/>
      <c r="B36" s="25" t="s">
        <v>64</v>
      </c>
      <c r="C36" s="32">
        <v>16238.744000000001</v>
      </c>
      <c r="D36" s="19">
        <v>3.527602257908617</v>
      </c>
    </row>
    <row r="37" spans="1:4">
      <c r="A37" s="67"/>
      <c r="B37" s="25" t="s">
        <v>65</v>
      </c>
      <c r="C37" s="32">
        <v>0</v>
      </c>
      <c r="D37" s="19">
        <v>0</v>
      </c>
    </row>
    <row r="38" spans="1:4">
      <c r="A38" s="67">
        <v>11</v>
      </c>
      <c r="B38" s="13" t="s">
        <v>72</v>
      </c>
      <c r="C38" s="18"/>
      <c r="D38" s="19"/>
    </row>
    <row r="39" spans="1:4">
      <c r="A39" s="67"/>
      <c r="B39" s="25" t="s">
        <v>64</v>
      </c>
      <c r="C39" s="32">
        <v>13412</v>
      </c>
      <c r="D39" s="19">
        <v>3.6621501888855752</v>
      </c>
    </row>
    <row r="40" spans="1:4">
      <c r="A40" s="67"/>
      <c r="B40" s="25" t="s">
        <v>65</v>
      </c>
      <c r="C40" s="32">
        <v>0</v>
      </c>
      <c r="D40" s="19">
        <v>0</v>
      </c>
    </row>
    <row r="41" spans="1:4">
      <c r="A41" s="67">
        <v>12</v>
      </c>
      <c r="B41" s="13" t="s">
        <v>78</v>
      </c>
      <c r="C41" s="32"/>
      <c r="D41" s="19"/>
    </row>
    <row r="42" spans="1:4">
      <c r="A42" s="67"/>
      <c r="B42" s="25" t="s">
        <v>64</v>
      </c>
      <c r="C42" s="32">
        <v>1005257</v>
      </c>
      <c r="D42" s="19">
        <v>3.1302675435236957</v>
      </c>
    </row>
    <row r="43" spans="1:4">
      <c r="A43" s="67"/>
      <c r="B43" s="25" t="s">
        <v>65</v>
      </c>
      <c r="C43" s="32">
        <f>1787.683+20.718</f>
        <v>1808.4010000000001</v>
      </c>
      <c r="D43" s="19">
        <v>921.38646000000006</v>
      </c>
    </row>
    <row r="44" spans="1:4">
      <c r="A44" s="67">
        <v>13</v>
      </c>
      <c r="B44" s="13" t="s">
        <v>82</v>
      </c>
      <c r="C44" s="32"/>
      <c r="D44" s="19"/>
    </row>
    <row r="45" spans="1:4">
      <c r="A45" s="67"/>
      <c r="B45" s="25" t="s">
        <v>64</v>
      </c>
      <c r="C45" s="32">
        <v>14042</v>
      </c>
      <c r="D45" s="19">
        <v>3.1872710440108247</v>
      </c>
    </row>
    <row r="46" spans="1:4">
      <c r="A46" s="67"/>
      <c r="B46" s="25" t="s">
        <v>65</v>
      </c>
      <c r="C46" s="32">
        <v>12</v>
      </c>
      <c r="D46" s="19">
        <v>921.32476999999994</v>
      </c>
    </row>
    <row r="47" spans="1:4">
      <c r="A47" s="67">
        <v>14</v>
      </c>
      <c r="B47" s="13" t="s">
        <v>91</v>
      </c>
      <c r="C47" s="32"/>
      <c r="D47" s="19"/>
    </row>
    <row r="48" spans="1:4">
      <c r="A48" s="67"/>
      <c r="B48" s="25" t="s">
        <v>64</v>
      </c>
      <c r="C48" s="43">
        <v>12189</v>
      </c>
      <c r="D48" s="19">
        <v>3.0560450679574487</v>
      </c>
    </row>
    <row r="49" spans="1:6">
      <c r="A49" s="67"/>
      <c r="B49" s="25" t="s">
        <v>65</v>
      </c>
      <c r="C49" s="32">
        <v>0</v>
      </c>
      <c r="D49" s="19">
        <v>0</v>
      </c>
    </row>
    <row r="50" spans="1:6">
      <c r="A50" s="67">
        <v>15</v>
      </c>
      <c r="B50" s="13" t="s">
        <v>92</v>
      </c>
      <c r="C50" s="18"/>
      <c r="D50" s="19"/>
    </row>
    <row r="51" spans="1:6">
      <c r="A51" s="67"/>
      <c r="B51" s="25" t="s">
        <v>64</v>
      </c>
      <c r="C51" s="32">
        <v>5133</v>
      </c>
      <c r="D51" s="19">
        <v>3.6572102084550946</v>
      </c>
    </row>
    <row r="52" spans="1:6">
      <c r="A52" s="67"/>
      <c r="B52" s="25" t="s">
        <v>65</v>
      </c>
      <c r="C52" s="32">
        <v>0</v>
      </c>
      <c r="D52" s="19">
        <v>0</v>
      </c>
    </row>
    <row r="53" spans="1:6">
      <c r="A53" s="67">
        <v>16</v>
      </c>
      <c r="B53" s="13" t="s">
        <v>79</v>
      </c>
      <c r="C53" s="32"/>
      <c r="D53" s="19"/>
    </row>
    <row r="54" spans="1:6">
      <c r="A54" s="67"/>
      <c r="B54" s="25" t="s">
        <v>64</v>
      </c>
      <c r="C54" s="32">
        <v>51593</v>
      </c>
      <c r="D54" s="44">
        <v>3.0883658312820219</v>
      </c>
      <c r="F54" s="35"/>
    </row>
    <row r="55" spans="1:6">
      <c r="A55" s="67"/>
      <c r="B55" s="25" t="s">
        <v>65</v>
      </c>
      <c r="C55" s="32">
        <v>0</v>
      </c>
      <c r="D55" s="19">
        <v>0</v>
      </c>
    </row>
    <row r="56" spans="1:6">
      <c r="A56" s="67">
        <v>17</v>
      </c>
      <c r="B56" s="13" t="s">
        <v>80</v>
      </c>
      <c r="C56" s="32"/>
      <c r="D56" s="44"/>
    </row>
    <row r="57" spans="1:6">
      <c r="A57" s="67"/>
      <c r="B57" s="25" t="s">
        <v>64</v>
      </c>
      <c r="C57" s="32">
        <v>57642</v>
      </c>
      <c r="D57" s="44">
        <v>3.0892471346124935</v>
      </c>
    </row>
    <row r="58" spans="1:6">
      <c r="A58" s="67"/>
      <c r="B58" s="25" t="s">
        <v>65</v>
      </c>
      <c r="C58" s="32">
        <f>10+3+3+10+7+11+15+15</f>
        <v>74</v>
      </c>
      <c r="D58" s="19">
        <v>1017.63265</v>
      </c>
    </row>
    <row r="59" spans="1:6">
      <c r="A59" s="67">
        <v>18</v>
      </c>
      <c r="B59" s="13" t="s">
        <v>83</v>
      </c>
      <c r="C59" s="32"/>
      <c r="D59" s="19"/>
    </row>
    <row r="60" spans="1:6">
      <c r="A60" s="67"/>
      <c r="B60" s="25" t="s">
        <v>64</v>
      </c>
      <c r="C60" s="32">
        <v>7865</v>
      </c>
      <c r="D60" s="44">
        <v>2.3925899554990466</v>
      </c>
    </row>
    <row r="61" spans="1:6">
      <c r="A61" s="67"/>
      <c r="B61" s="25" t="s">
        <v>65</v>
      </c>
      <c r="C61" s="32">
        <v>0</v>
      </c>
      <c r="D61" s="19">
        <v>0</v>
      </c>
    </row>
    <row r="62" spans="1:6">
      <c r="A62" s="67">
        <v>19</v>
      </c>
      <c r="B62" s="13" t="s">
        <v>84</v>
      </c>
      <c r="C62" s="32"/>
      <c r="D62" s="19"/>
    </row>
    <row r="63" spans="1:6">
      <c r="A63" s="67"/>
      <c r="B63" s="25" t="s">
        <v>64</v>
      </c>
      <c r="C63" s="32">
        <v>9880</v>
      </c>
      <c r="D63" s="44">
        <v>3.5635404858299591</v>
      </c>
    </row>
    <row r="64" spans="1:6">
      <c r="A64" s="67"/>
      <c r="B64" s="25" t="s">
        <v>65</v>
      </c>
      <c r="C64" s="32">
        <v>0</v>
      </c>
      <c r="D64" s="19">
        <v>0</v>
      </c>
    </row>
    <row r="65" spans="1:4">
      <c r="A65" s="67">
        <v>20</v>
      </c>
      <c r="B65" s="42" t="s">
        <v>85</v>
      </c>
      <c r="C65" s="32"/>
      <c r="D65" s="19"/>
    </row>
    <row r="66" spans="1:4">
      <c r="A66" s="67"/>
      <c r="B66" s="25" t="s">
        <v>64</v>
      </c>
      <c r="C66" s="32">
        <v>14484</v>
      </c>
      <c r="D66" s="44">
        <v>2.9681572769953051</v>
      </c>
    </row>
    <row r="67" spans="1:4">
      <c r="A67" s="67"/>
      <c r="B67" s="25" t="s">
        <v>65</v>
      </c>
      <c r="C67" s="32">
        <v>24</v>
      </c>
      <c r="D67" s="19">
        <v>924.51318000000003</v>
      </c>
    </row>
    <row r="68" spans="1:4">
      <c r="A68" s="67">
        <v>21</v>
      </c>
      <c r="B68" s="13" t="s">
        <v>87</v>
      </c>
      <c r="C68" s="32"/>
      <c r="D68" s="19"/>
    </row>
    <row r="69" spans="1:4">
      <c r="A69" s="67"/>
      <c r="B69" s="25" t="s">
        <v>64</v>
      </c>
      <c r="C69" s="32">
        <v>16688</v>
      </c>
      <c r="D69" s="44">
        <v>2.5176294343240651</v>
      </c>
    </row>
    <row r="70" spans="1:4">
      <c r="A70" s="67"/>
      <c r="B70" s="25" t="s">
        <v>65</v>
      </c>
      <c r="C70" s="32">
        <v>25</v>
      </c>
      <c r="D70" s="19">
        <v>763.12833000000001</v>
      </c>
    </row>
    <row r="71" spans="1:4">
      <c r="A71" s="67">
        <v>22</v>
      </c>
      <c r="B71" s="13" t="s">
        <v>93</v>
      </c>
      <c r="C71" s="32"/>
      <c r="D71" s="19"/>
    </row>
    <row r="72" spans="1:4">
      <c r="A72" s="67"/>
      <c r="B72" s="25" t="s">
        <v>64</v>
      </c>
      <c r="C72" s="32">
        <v>35621</v>
      </c>
      <c r="D72" s="44">
        <v>0.28048244013362905</v>
      </c>
    </row>
    <row r="73" spans="1:4">
      <c r="A73" s="67"/>
      <c r="B73" s="25" t="s">
        <v>65</v>
      </c>
      <c r="C73" s="32">
        <f>41+7</f>
        <v>48</v>
      </c>
      <c r="D73" s="19">
        <v>920.50585999999998</v>
      </c>
    </row>
    <row r="74" spans="1:4">
      <c r="A74" s="67">
        <v>23</v>
      </c>
      <c r="B74" s="13" t="s">
        <v>73</v>
      </c>
      <c r="C74" s="18"/>
      <c r="D74" s="26"/>
    </row>
    <row r="75" spans="1:4">
      <c r="A75" s="45"/>
      <c r="B75" s="25" t="s">
        <v>64</v>
      </c>
      <c r="C75" s="18"/>
      <c r="D75" s="19"/>
    </row>
    <row r="76" spans="1:4">
      <c r="A76" s="45"/>
      <c r="B76" s="25" t="s">
        <v>65</v>
      </c>
      <c r="C76" s="18"/>
      <c r="D76" s="26"/>
    </row>
    <row r="77" spans="1:4" s="15" customFormat="1">
      <c r="A77" s="67">
        <v>24</v>
      </c>
      <c r="B77" s="13" t="s">
        <v>74</v>
      </c>
      <c r="C77" s="21"/>
      <c r="D77" s="22"/>
    </row>
    <row r="78" spans="1:4">
      <c r="A78" s="45"/>
      <c r="B78" s="17" t="s">
        <v>64</v>
      </c>
      <c r="C78" s="32">
        <v>14421680</v>
      </c>
      <c r="D78" s="44">
        <v>3.7513598658408727</v>
      </c>
    </row>
    <row r="79" spans="1:4">
      <c r="A79" s="45"/>
      <c r="B79" s="17" t="s">
        <v>65</v>
      </c>
      <c r="C79" s="32">
        <v>0</v>
      </c>
      <c r="D79" s="19">
        <v>0</v>
      </c>
    </row>
    <row r="80" spans="1:4" s="15" customFormat="1">
      <c r="A80" s="67">
        <v>25</v>
      </c>
      <c r="B80" s="13" t="s">
        <v>88</v>
      </c>
      <c r="C80" s="21"/>
      <c r="D80" s="22"/>
    </row>
    <row r="81" spans="1:4">
      <c r="A81" s="45"/>
      <c r="B81" s="25" t="s">
        <v>64</v>
      </c>
      <c r="C81" s="32">
        <v>12186</v>
      </c>
      <c r="D81" s="44">
        <v>2.9327746320914714</v>
      </c>
    </row>
    <row r="82" spans="1:4">
      <c r="A82" s="45"/>
      <c r="B82" s="25" t="s">
        <v>65</v>
      </c>
      <c r="C82" s="18">
        <v>18</v>
      </c>
      <c r="D82" s="19">
        <v>972.09394999999995</v>
      </c>
    </row>
    <row r="83" spans="1:4">
      <c r="A83" s="67">
        <v>26</v>
      </c>
      <c r="B83" s="13" t="s">
        <v>75</v>
      </c>
      <c r="C83" s="18"/>
      <c r="D83" s="19"/>
    </row>
    <row r="84" spans="1:4">
      <c r="A84" s="45"/>
      <c r="B84" s="25" t="s">
        <v>64</v>
      </c>
      <c r="C84" s="18">
        <v>462413</v>
      </c>
      <c r="D84" s="19">
        <v>2.8055208042738129</v>
      </c>
    </row>
    <row r="85" spans="1:4">
      <c r="A85" s="45"/>
      <c r="B85" s="25" t="s">
        <v>65</v>
      </c>
      <c r="C85" s="18">
        <v>661.38</v>
      </c>
      <c r="D85" s="19">
        <v>952.93294000000003</v>
      </c>
    </row>
    <row r="86" spans="1:4">
      <c r="A86" s="76" t="s">
        <v>76</v>
      </c>
      <c r="B86" s="76"/>
      <c r="C86" s="33">
        <f>C9+C12+C15+C18+C21+C24+C27+C30+C33+C36+C39+C42+C45+C48+C51+C54+C57+C60+C63+C66+C69+C72+C78+C81+C84</f>
        <v>18508264.743999999</v>
      </c>
      <c r="D86" s="64"/>
    </row>
    <row r="87" spans="1:4">
      <c r="A87" s="76" t="s">
        <v>77</v>
      </c>
      <c r="B87" s="76"/>
      <c r="C87" s="33">
        <f>C10+C13+C16+C19+C22+C25+C28+C31+C34+C37+C40+C43+C46+C49+C52+C55+C58+C61+C64+C67+C70+C73+C79+C82+C85</f>
        <v>5856.5250000000005</v>
      </c>
      <c r="D87" s="64"/>
    </row>
    <row r="90" spans="1:4">
      <c r="C90" s="35"/>
    </row>
    <row r="91" spans="1:4">
      <c r="C91" s="47"/>
    </row>
    <row r="93" spans="1:4">
      <c r="C93" s="48"/>
    </row>
    <row r="94" spans="1:4">
      <c r="C94" s="47"/>
    </row>
    <row r="95" spans="1:4">
      <c r="C95" s="48"/>
    </row>
    <row r="102" spans="3:3">
      <c r="C102" s="48"/>
    </row>
  </sheetData>
  <mergeCells count="8">
    <mergeCell ref="A86:B86"/>
    <mergeCell ref="A87:B87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3F06-F856-496F-B291-ED94D98516D0}">
  <sheetPr>
    <pageSetUpPr fitToPage="1"/>
  </sheetPr>
  <dimension ref="A1:J102"/>
  <sheetViews>
    <sheetView topLeftCell="A49" zoomScale="87" zoomScaleNormal="87" workbookViewId="0">
      <selection activeCell="C88" sqref="C88"/>
    </sheetView>
  </sheetViews>
  <sheetFormatPr defaultRowHeight="15.75"/>
  <cols>
    <col min="1" max="1" width="9.140625" style="11"/>
    <col min="2" max="2" width="52.1406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44105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89</v>
      </c>
      <c r="C8" s="14"/>
      <c r="D8" s="14"/>
      <c r="H8" s="16"/>
    </row>
    <row r="9" spans="1:10">
      <c r="A9" s="67"/>
      <c r="B9" s="17" t="s">
        <v>64</v>
      </c>
      <c r="C9" s="32">
        <v>111</v>
      </c>
      <c r="D9" s="19">
        <v>2.93</v>
      </c>
      <c r="F9" s="20"/>
    </row>
    <row r="10" spans="1:10">
      <c r="A10" s="67"/>
      <c r="B10" s="17" t="s">
        <v>65</v>
      </c>
      <c r="C10" s="50">
        <v>0</v>
      </c>
      <c r="D10" s="50">
        <v>0</v>
      </c>
    </row>
    <row r="11" spans="1:10" s="15" customFormat="1">
      <c r="A11" s="67">
        <v>2</v>
      </c>
      <c r="B11" s="13" t="s">
        <v>63</v>
      </c>
      <c r="C11" s="21"/>
      <c r="D11" s="22"/>
    </row>
    <row r="12" spans="1:10">
      <c r="A12" s="67"/>
      <c r="B12" s="17" t="s">
        <v>64</v>
      </c>
      <c r="C12" s="32">
        <v>1506289</v>
      </c>
      <c r="D12" s="19">
        <v>3.2040045934080381</v>
      </c>
      <c r="F12" s="35"/>
      <c r="G12" s="23"/>
    </row>
    <row r="13" spans="1:10">
      <c r="A13" s="67"/>
      <c r="B13" s="17" t="s">
        <v>65</v>
      </c>
      <c r="C13" s="32">
        <v>2155</v>
      </c>
      <c r="D13" s="19">
        <v>978.67361000000005</v>
      </c>
      <c r="E13" s="24"/>
    </row>
    <row r="14" spans="1:10" s="15" customFormat="1">
      <c r="A14" s="67">
        <v>3</v>
      </c>
      <c r="B14" s="13" t="s">
        <v>66</v>
      </c>
      <c r="C14" s="21"/>
      <c r="D14" s="22"/>
    </row>
    <row r="15" spans="1:10">
      <c r="A15" s="67"/>
      <c r="B15" s="25" t="s">
        <v>64</v>
      </c>
      <c r="C15" s="32">
        <v>483445</v>
      </c>
      <c r="D15" s="19">
        <v>2.8347348543612338</v>
      </c>
    </row>
    <row r="16" spans="1:10">
      <c r="A16" s="67"/>
      <c r="B16" s="25" t="s">
        <v>65</v>
      </c>
      <c r="C16" s="32">
        <f>71+17+20+12+87+21+161+102+8+40+9+39+38+18+20</f>
        <v>663</v>
      </c>
      <c r="D16" s="19">
        <v>947.76859000000002</v>
      </c>
    </row>
    <row r="17" spans="1:4">
      <c r="A17" s="67">
        <v>4</v>
      </c>
      <c r="B17" s="38" t="s">
        <v>90</v>
      </c>
      <c r="C17" s="18"/>
      <c r="D17" s="19"/>
    </row>
    <row r="18" spans="1:4">
      <c r="A18" s="67"/>
      <c r="B18" s="25" t="s">
        <v>64</v>
      </c>
      <c r="C18" s="32">
        <v>12880</v>
      </c>
      <c r="D18" s="19">
        <v>2.8566297877846791</v>
      </c>
    </row>
    <row r="19" spans="1:4">
      <c r="A19" s="67"/>
      <c r="B19" s="25" t="s">
        <v>65</v>
      </c>
      <c r="C19" s="50">
        <v>0</v>
      </c>
      <c r="D19" s="50">
        <v>0</v>
      </c>
    </row>
    <row r="20" spans="1:4" s="15" customFormat="1">
      <c r="A20" s="67">
        <v>5</v>
      </c>
      <c r="B20" s="13" t="s">
        <v>81</v>
      </c>
      <c r="C20" s="40"/>
      <c r="D20" s="40"/>
    </row>
    <row r="21" spans="1:4">
      <c r="A21" s="67"/>
      <c r="B21" s="25" t="s">
        <v>64</v>
      </c>
      <c r="C21" s="32">
        <v>8088</v>
      </c>
      <c r="D21" s="41">
        <v>2.7776057121661726</v>
      </c>
    </row>
    <row r="22" spans="1:4">
      <c r="A22" s="67"/>
      <c r="B22" s="25" t="s">
        <v>65</v>
      </c>
      <c r="C22" s="39">
        <v>11.5</v>
      </c>
      <c r="D22" s="41">
        <v>948.18331000000001</v>
      </c>
    </row>
    <row r="23" spans="1:4">
      <c r="A23" s="67">
        <v>6</v>
      </c>
      <c r="B23" s="13" t="s">
        <v>68</v>
      </c>
      <c r="C23" s="21"/>
      <c r="D23" s="22"/>
    </row>
    <row r="24" spans="1:4">
      <c r="A24" s="67"/>
      <c r="B24" s="25" t="s">
        <v>64</v>
      </c>
      <c r="C24" s="32">
        <v>36351</v>
      </c>
      <c r="D24" s="19">
        <v>2.7813496648418661</v>
      </c>
    </row>
    <row r="25" spans="1:4">
      <c r="A25" s="67"/>
      <c r="B25" s="25" t="s">
        <v>65</v>
      </c>
      <c r="C25" s="32">
        <f>20.392+28.706</f>
        <v>49.097999999999999</v>
      </c>
      <c r="D25" s="19">
        <v>950.23960999999997</v>
      </c>
    </row>
    <row r="26" spans="1:4">
      <c r="A26" s="67">
        <v>7</v>
      </c>
      <c r="B26" s="13" t="s">
        <v>69</v>
      </c>
      <c r="C26" s="32"/>
      <c r="D26" s="19"/>
    </row>
    <row r="27" spans="1:4">
      <c r="A27" s="67"/>
      <c r="B27" s="25" t="s">
        <v>64</v>
      </c>
      <c r="C27" s="32">
        <v>113869</v>
      </c>
      <c r="D27" s="19">
        <v>2.7968806991660009</v>
      </c>
    </row>
    <row r="28" spans="1:4">
      <c r="A28" s="67"/>
      <c r="B28" s="25" t="s">
        <v>65</v>
      </c>
      <c r="C28" s="32">
        <v>112</v>
      </c>
      <c r="D28" s="19">
        <v>946.50546999999995</v>
      </c>
    </row>
    <row r="29" spans="1:4">
      <c r="A29" s="67">
        <v>8</v>
      </c>
      <c r="B29" s="13" t="s">
        <v>70</v>
      </c>
      <c r="C29" s="32"/>
      <c r="D29" s="19"/>
    </row>
    <row r="30" spans="1:4">
      <c r="A30" s="67"/>
      <c r="B30" s="25" t="s">
        <v>64</v>
      </c>
      <c r="C30" s="32">
        <v>362010</v>
      </c>
      <c r="D30" s="19">
        <v>2.7654370275222599</v>
      </c>
    </row>
    <row r="31" spans="1:4">
      <c r="A31" s="67"/>
      <c r="B31" s="25" t="s">
        <v>65</v>
      </c>
      <c r="C31" s="32">
        <f>17+16+17+17+16+57+19+110+49+15+14+19+17+22+12+18+17+17+13+13+19+18</f>
        <v>532</v>
      </c>
      <c r="D31" s="19">
        <v>999.80962</v>
      </c>
    </row>
    <row r="32" spans="1:4">
      <c r="A32" s="67">
        <v>9</v>
      </c>
      <c r="B32" s="13" t="s">
        <v>86</v>
      </c>
      <c r="C32" s="32"/>
      <c r="D32" s="19"/>
    </row>
    <row r="33" spans="1:4">
      <c r="A33" s="67"/>
      <c r="B33" s="25" t="s">
        <v>64</v>
      </c>
      <c r="C33" s="32">
        <v>12949</v>
      </c>
      <c r="D33" s="51">
        <v>2.6269808479419261</v>
      </c>
    </row>
    <row r="34" spans="1:4">
      <c r="A34" s="67"/>
      <c r="B34" s="25" t="s">
        <v>65</v>
      </c>
      <c r="C34" s="32">
        <v>18</v>
      </c>
      <c r="D34" s="19">
        <v>972.39112</v>
      </c>
    </row>
    <row r="35" spans="1:4">
      <c r="A35" s="67">
        <v>10</v>
      </c>
      <c r="B35" s="13" t="s">
        <v>71</v>
      </c>
      <c r="C35" s="32"/>
      <c r="D35" s="19"/>
    </row>
    <row r="36" spans="1:4">
      <c r="A36" s="67"/>
      <c r="B36" s="25" t="s">
        <v>64</v>
      </c>
      <c r="C36" s="32">
        <v>17007</v>
      </c>
      <c r="D36" s="19">
        <v>3.223754924442876</v>
      </c>
    </row>
    <row r="37" spans="1:4">
      <c r="A37" s="67"/>
      <c r="B37" s="25" t="s">
        <v>65</v>
      </c>
      <c r="C37" s="18">
        <v>0</v>
      </c>
      <c r="D37" s="19">
        <v>0</v>
      </c>
    </row>
    <row r="38" spans="1:4">
      <c r="A38" s="67">
        <v>11</v>
      </c>
      <c r="B38" s="13" t="s">
        <v>72</v>
      </c>
      <c r="C38" s="18"/>
      <c r="D38" s="19"/>
    </row>
    <row r="39" spans="1:4">
      <c r="A39" s="67"/>
      <c r="B39" s="25" t="s">
        <v>64</v>
      </c>
      <c r="C39" s="32">
        <v>11928</v>
      </c>
      <c r="D39" s="19">
        <v>3.140970126313436</v>
      </c>
    </row>
    <row r="40" spans="1:4">
      <c r="A40" s="67"/>
      <c r="B40" s="25" t="s">
        <v>65</v>
      </c>
      <c r="C40" s="32">
        <v>0</v>
      </c>
      <c r="D40" s="19">
        <v>0</v>
      </c>
    </row>
    <row r="41" spans="1:4">
      <c r="A41" s="67">
        <v>12</v>
      </c>
      <c r="B41" s="13" t="s">
        <v>78</v>
      </c>
      <c r="C41" s="32"/>
      <c r="D41" s="19"/>
    </row>
    <row r="42" spans="1:4">
      <c r="A42" s="67"/>
      <c r="B42" s="25" t="s">
        <v>64</v>
      </c>
      <c r="C42" s="32">
        <v>685123</v>
      </c>
      <c r="D42" s="19">
        <v>3.0287325414560597</v>
      </c>
    </row>
    <row r="43" spans="1:4">
      <c r="A43" s="67"/>
      <c r="B43" s="25" t="s">
        <v>65</v>
      </c>
      <c r="C43" s="32">
        <f>1183.38+21.527</f>
        <v>1204.9070000000002</v>
      </c>
      <c r="D43" s="19">
        <v>912.31344000000001</v>
      </c>
    </row>
    <row r="44" spans="1:4">
      <c r="A44" s="67">
        <v>13</v>
      </c>
      <c r="B44" s="13" t="s">
        <v>82</v>
      </c>
      <c r="C44" s="32"/>
      <c r="D44" s="19"/>
    </row>
    <row r="45" spans="1:4">
      <c r="A45" s="67"/>
      <c r="B45" s="25" t="s">
        <v>64</v>
      </c>
      <c r="C45" s="32">
        <v>17954</v>
      </c>
      <c r="D45" s="19">
        <v>2.6708430804648917</v>
      </c>
    </row>
    <row r="46" spans="1:4">
      <c r="A46" s="67"/>
      <c r="B46" s="25" t="s">
        <v>65</v>
      </c>
      <c r="C46" s="32">
        <v>0</v>
      </c>
      <c r="D46" s="19">
        <v>0</v>
      </c>
    </row>
    <row r="47" spans="1:4">
      <c r="A47" s="67">
        <v>14</v>
      </c>
      <c r="B47" s="13" t="s">
        <v>91</v>
      </c>
      <c r="C47" s="32"/>
      <c r="D47" s="19"/>
    </row>
    <row r="48" spans="1:4">
      <c r="A48" s="67"/>
      <c r="B48" s="25" t="s">
        <v>64</v>
      </c>
      <c r="C48" s="43">
        <v>14211</v>
      </c>
      <c r="D48" s="19">
        <v>2.921814087678559</v>
      </c>
    </row>
    <row r="49" spans="1:6">
      <c r="A49" s="67"/>
      <c r="B49" s="25" t="s">
        <v>65</v>
      </c>
      <c r="C49" s="18">
        <v>8.2639999999999993</v>
      </c>
      <c r="D49" s="19">
        <v>946.25022000000001</v>
      </c>
    </row>
    <row r="50" spans="1:6">
      <c r="A50" s="67">
        <v>15</v>
      </c>
      <c r="B50" s="13" t="s">
        <v>92</v>
      </c>
      <c r="C50" s="18"/>
      <c r="D50" s="19"/>
    </row>
    <row r="51" spans="1:6">
      <c r="A51" s="67"/>
      <c r="B51" s="25" t="s">
        <v>64</v>
      </c>
      <c r="C51" s="32">
        <v>5700</v>
      </c>
      <c r="D51" s="19">
        <v>3.6712105263157899</v>
      </c>
    </row>
    <row r="52" spans="1:6">
      <c r="A52" s="67"/>
      <c r="B52" s="25" t="s">
        <v>65</v>
      </c>
      <c r="C52" s="32">
        <v>11</v>
      </c>
      <c r="D52" s="19">
        <v>947.55579999999998</v>
      </c>
    </row>
    <row r="53" spans="1:6">
      <c r="A53" s="67">
        <v>16</v>
      </c>
      <c r="B53" s="13" t="s">
        <v>79</v>
      </c>
      <c r="C53" s="32"/>
      <c r="D53" s="19"/>
    </row>
    <row r="54" spans="1:6">
      <c r="A54" s="67"/>
      <c r="B54" s="25" t="s">
        <v>64</v>
      </c>
      <c r="C54" s="32">
        <v>50458</v>
      </c>
      <c r="D54" s="44">
        <v>2.7829792434632101</v>
      </c>
      <c r="F54" s="35"/>
    </row>
    <row r="55" spans="1:6">
      <c r="A55" s="67"/>
      <c r="B55" s="25" t="s">
        <v>65</v>
      </c>
      <c r="C55" s="32">
        <f>40+14+6</f>
        <v>60</v>
      </c>
      <c r="D55" s="19">
        <v>961.84838000000002</v>
      </c>
    </row>
    <row r="56" spans="1:6">
      <c r="A56" s="67">
        <v>17</v>
      </c>
      <c r="B56" s="13" t="s">
        <v>80</v>
      </c>
      <c r="C56" s="32"/>
      <c r="D56" s="44"/>
    </row>
    <row r="57" spans="1:6">
      <c r="A57" s="67"/>
      <c r="B57" s="25" t="s">
        <v>64</v>
      </c>
      <c r="C57" s="32">
        <v>66236</v>
      </c>
      <c r="D57" s="44">
        <v>3.010348601968718</v>
      </c>
    </row>
    <row r="58" spans="1:6">
      <c r="A58" s="67"/>
      <c r="B58" s="25" t="s">
        <v>65</v>
      </c>
      <c r="C58" s="32">
        <f>5+12+17+12+5+8+11+18</f>
        <v>88</v>
      </c>
      <c r="D58" s="19">
        <v>1046.3961099999999</v>
      </c>
    </row>
    <row r="59" spans="1:6">
      <c r="A59" s="67">
        <v>18</v>
      </c>
      <c r="B59" s="13" t="s">
        <v>83</v>
      </c>
      <c r="C59" s="32"/>
      <c r="D59" s="19"/>
    </row>
    <row r="60" spans="1:6">
      <c r="A60" s="67"/>
      <c r="B60" s="25" t="s">
        <v>64</v>
      </c>
      <c r="C60" s="32">
        <v>11242</v>
      </c>
      <c r="D60" s="44">
        <v>2.3370900788709008</v>
      </c>
    </row>
    <row r="61" spans="1:6">
      <c r="A61" s="67"/>
      <c r="B61" s="25" t="s">
        <v>65</v>
      </c>
      <c r="C61" s="32">
        <v>0</v>
      </c>
      <c r="D61" s="19">
        <v>0</v>
      </c>
    </row>
    <row r="62" spans="1:6">
      <c r="A62" s="67">
        <v>19</v>
      </c>
      <c r="B62" s="13" t="s">
        <v>84</v>
      </c>
      <c r="C62" s="32"/>
      <c r="D62" s="19"/>
    </row>
    <row r="63" spans="1:6">
      <c r="A63" s="67"/>
      <c r="B63" s="25" t="s">
        <v>64</v>
      </c>
      <c r="C63" s="32">
        <v>11421</v>
      </c>
      <c r="D63" s="44">
        <v>3.4649600151767213</v>
      </c>
    </row>
    <row r="64" spans="1:6">
      <c r="A64" s="67"/>
      <c r="B64" s="25" t="s">
        <v>65</v>
      </c>
      <c r="C64" s="32">
        <v>0</v>
      </c>
      <c r="D64" s="19">
        <v>0</v>
      </c>
    </row>
    <row r="65" spans="1:4">
      <c r="A65" s="67">
        <v>20</v>
      </c>
      <c r="B65" s="42" t="s">
        <v>85</v>
      </c>
      <c r="C65" s="32"/>
      <c r="D65" s="19"/>
    </row>
    <row r="66" spans="1:4">
      <c r="A66" s="67"/>
      <c r="B66" s="25" t="s">
        <v>64</v>
      </c>
      <c r="C66" s="32">
        <v>16792</v>
      </c>
      <c r="D66" s="44">
        <v>2.9196120176274416</v>
      </c>
    </row>
    <row r="67" spans="1:4">
      <c r="A67" s="67"/>
      <c r="B67" s="25" t="s">
        <v>65</v>
      </c>
      <c r="C67" s="32">
        <v>29</v>
      </c>
      <c r="D67" s="19">
        <v>951.56334000000004</v>
      </c>
    </row>
    <row r="68" spans="1:4">
      <c r="A68" s="67">
        <v>21</v>
      </c>
      <c r="B68" s="13" t="s">
        <v>87</v>
      </c>
      <c r="C68" s="32"/>
      <c r="D68" s="19"/>
    </row>
    <row r="69" spans="1:4">
      <c r="A69" s="67"/>
      <c r="B69" s="25" t="s">
        <v>64</v>
      </c>
      <c r="C69" s="32">
        <v>19617</v>
      </c>
      <c r="D69" s="44">
        <v>2.6223853460433979</v>
      </c>
    </row>
    <row r="70" spans="1:4">
      <c r="A70" s="67"/>
      <c r="B70" s="25" t="s">
        <v>65</v>
      </c>
      <c r="C70" s="32">
        <v>31</v>
      </c>
      <c r="D70" s="19">
        <v>725.84492999999998</v>
      </c>
    </row>
    <row r="71" spans="1:4">
      <c r="A71" s="67">
        <v>22</v>
      </c>
      <c r="B71" s="13" t="s">
        <v>93</v>
      </c>
      <c r="C71" s="32"/>
      <c r="D71" s="19"/>
    </row>
    <row r="72" spans="1:4">
      <c r="A72" s="67"/>
      <c r="B72" s="25" t="s">
        <v>64</v>
      </c>
      <c r="C72" s="32">
        <v>42172</v>
      </c>
      <c r="D72" s="44">
        <v>2.5889097031205539</v>
      </c>
    </row>
    <row r="73" spans="1:4">
      <c r="A73" s="67"/>
      <c r="B73" s="25" t="s">
        <v>65</v>
      </c>
      <c r="C73" s="32">
        <f>7+45</f>
        <v>52</v>
      </c>
      <c r="D73" s="19">
        <v>945.66007999999999</v>
      </c>
    </row>
    <row r="74" spans="1:4">
      <c r="A74" s="67">
        <v>23</v>
      </c>
      <c r="B74" s="13" t="s">
        <v>73</v>
      </c>
      <c r="C74" s="18"/>
      <c r="D74" s="26"/>
    </row>
    <row r="75" spans="1:4">
      <c r="A75" s="45"/>
      <c r="B75" s="25" t="s">
        <v>64</v>
      </c>
      <c r="C75" s="18"/>
      <c r="D75" s="19"/>
    </row>
    <row r="76" spans="1:4">
      <c r="A76" s="45"/>
      <c r="B76" s="25" t="s">
        <v>65</v>
      </c>
      <c r="C76" s="18"/>
      <c r="D76" s="26"/>
    </row>
    <row r="77" spans="1:4" s="15" customFormat="1">
      <c r="A77" s="67">
        <v>24</v>
      </c>
      <c r="B77" s="13" t="s">
        <v>74</v>
      </c>
      <c r="C77" s="21"/>
      <c r="D77" s="22"/>
    </row>
    <row r="78" spans="1:4">
      <c r="A78" s="45"/>
      <c r="B78" s="17" t="s">
        <v>64</v>
      </c>
      <c r="C78" s="32">
        <v>13390058</v>
      </c>
      <c r="D78" s="44">
        <v>3.4493248442239763</v>
      </c>
    </row>
    <row r="79" spans="1:4">
      <c r="A79" s="45"/>
      <c r="B79" s="17" t="s">
        <v>65</v>
      </c>
      <c r="C79" s="32">
        <v>0</v>
      </c>
      <c r="D79" s="19">
        <v>0</v>
      </c>
    </row>
    <row r="80" spans="1:4" s="15" customFormat="1">
      <c r="A80" s="67">
        <v>25</v>
      </c>
      <c r="B80" s="13" t="s">
        <v>88</v>
      </c>
      <c r="C80" s="21"/>
      <c r="D80" s="22"/>
    </row>
    <row r="81" spans="1:4">
      <c r="A81" s="45"/>
      <c r="B81" s="25" t="s">
        <v>64</v>
      </c>
      <c r="C81" s="32">
        <v>14035</v>
      </c>
      <c r="D81" s="44">
        <v>2.7953354708466933</v>
      </c>
    </row>
    <row r="82" spans="1:4">
      <c r="A82" s="45"/>
      <c r="B82" s="25" t="s">
        <v>65</v>
      </c>
      <c r="C82" s="18">
        <v>21</v>
      </c>
      <c r="D82" s="19">
        <v>999.80962</v>
      </c>
    </row>
    <row r="83" spans="1:4">
      <c r="A83" s="67">
        <v>26</v>
      </c>
      <c r="B83" s="13" t="s">
        <v>75</v>
      </c>
      <c r="C83" s="18"/>
      <c r="D83" s="19"/>
    </row>
    <row r="84" spans="1:4">
      <c r="A84" s="45"/>
      <c r="B84" s="25" t="s">
        <v>64</v>
      </c>
      <c r="C84" s="18">
        <v>278567</v>
      </c>
      <c r="D84" s="19">
        <v>2.6607578769772586</v>
      </c>
    </row>
    <row r="85" spans="1:4">
      <c r="A85" s="45"/>
      <c r="B85" s="25" t="s">
        <v>65</v>
      </c>
      <c r="C85" s="18">
        <v>394.81</v>
      </c>
      <c r="D85" s="19">
        <v>979.62291000000005</v>
      </c>
    </row>
    <row r="86" spans="1:4">
      <c r="A86" s="76" t="s">
        <v>76</v>
      </c>
      <c r="B86" s="76"/>
      <c r="C86" s="33">
        <f>C9+C12+C15+C18+C21+C24+C27+C30+C33+C36+C39+C42+C45+C48+C51+C54+C57+C60+C63+C66+C69+C72+C78+C81+C84</f>
        <v>17188513</v>
      </c>
      <c r="D86" s="64"/>
    </row>
    <row r="87" spans="1:4">
      <c r="A87" s="76" t="s">
        <v>77</v>
      </c>
      <c r="B87" s="76"/>
      <c r="C87" s="33">
        <f>C10+C13+C16+C19+C22+C25+C28+C31+C34+C37+C40+C43+C46+C49+C52+C55+C58+C61+C64+C67+C70+C73+C79+C82+C85</f>
        <v>5440.5790000000006</v>
      </c>
      <c r="D87" s="64"/>
    </row>
    <row r="90" spans="1:4">
      <c r="C90" s="35"/>
    </row>
    <row r="91" spans="1:4">
      <c r="C91" s="47"/>
    </row>
    <row r="93" spans="1:4">
      <c r="C93" s="48"/>
    </row>
    <row r="94" spans="1:4">
      <c r="C94" s="47"/>
    </row>
    <row r="95" spans="1:4">
      <c r="C95" s="48"/>
    </row>
    <row r="102" spans="3:3">
      <c r="C102" s="48"/>
    </row>
  </sheetData>
  <mergeCells count="8">
    <mergeCell ref="A86:B86"/>
    <mergeCell ref="A87:B87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4D6D-6579-46F3-9963-8B2D482A3747}">
  <sheetPr>
    <pageSetUpPr fitToPage="1"/>
  </sheetPr>
  <dimension ref="A1:J102"/>
  <sheetViews>
    <sheetView topLeftCell="A58" zoomScale="87" zoomScaleNormal="87" workbookViewId="0">
      <selection activeCell="F26" sqref="F26"/>
    </sheetView>
  </sheetViews>
  <sheetFormatPr defaultRowHeight="15.75"/>
  <cols>
    <col min="1" max="1" width="9.140625" style="11"/>
    <col min="2" max="2" width="52.1406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44136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89</v>
      </c>
      <c r="C8" s="14"/>
      <c r="D8" s="14"/>
      <c r="H8" s="16"/>
    </row>
    <row r="9" spans="1:10">
      <c r="A9" s="67"/>
      <c r="B9" s="17" t="s">
        <v>64</v>
      </c>
      <c r="C9" s="32">
        <v>111</v>
      </c>
      <c r="D9" s="19">
        <v>2.9333333333333336</v>
      </c>
      <c r="F9" s="20"/>
    </row>
    <row r="10" spans="1:10">
      <c r="A10" s="67"/>
      <c r="B10" s="17" t="s">
        <v>65</v>
      </c>
      <c r="C10" s="50">
        <v>0</v>
      </c>
      <c r="D10" s="50">
        <v>0</v>
      </c>
    </row>
    <row r="11" spans="1:10" s="15" customFormat="1">
      <c r="A11" s="67">
        <v>2</v>
      </c>
      <c r="B11" s="13" t="s">
        <v>63</v>
      </c>
      <c r="C11" s="21"/>
      <c r="D11" s="22"/>
    </row>
    <row r="12" spans="1:10">
      <c r="A12" s="67"/>
      <c r="B12" s="17" t="s">
        <v>64</v>
      </c>
      <c r="C12" s="32">
        <v>1489153</v>
      </c>
      <c r="D12" s="19">
        <v>3.3998831494592348</v>
      </c>
      <c r="F12" s="35"/>
      <c r="G12" s="23"/>
    </row>
    <row r="13" spans="1:10">
      <c r="A13" s="67"/>
      <c r="B13" s="17" t="s">
        <v>65</v>
      </c>
      <c r="C13" s="32">
        <v>2214</v>
      </c>
      <c r="D13" s="19">
        <v>925.64300000000003</v>
      </c>
      <c r="E13" s="24"/>
    </row>
    <row r="14" spans="1:10" s="15" customFormat="1">
      <c r="A14" s="67">
        <v>3</v>
      </c>
      <c r="B14" s="13" t="s">
        <v>66</v>
      </c>
      <c r="C14" s="21"/>
      <c r="D14" s="22"/>
    </row>
    <row r="15" spans="1:10">
      <c r="A15" s="67"/>
      <c r="B15" s="25" t="s">
        <v>64</v>
      </c>
      <c r="C15" s="32">
        <v>601566</v>
      </c>
      <c r="D15" s="19">
        <v>2.840920198282483</v>
      </c>
    </row>
    <row r="16" spans="1:10">
      <c r="A16" s="67"/>
      <c r="B16" s="25" t="s">
        <v>65</v>
      </c>
      <c r="C16" s="32">
        <f>14+104+24+25+84+27+225+21+14+51+21+47+140+50+11</f>
        <v>858</v>
      </c>
      <c r="D16" s="19">
        <v>894.92665999999997</v>
      </c>
    </row>
    <row r="17" spans="1:4">
      <c r="A17" s="67">
        <v>4</v>
      </c>
      <c r="B17" s="38" t="s">
        <v>90</v>
      </c>
      <c r="C17" s="18"/>
      <c r="D17" s="19"/>
    </row>
    <row r="18" spans="1:4">
      <c r="A18" s="67"/>
      <c r="B18" s="25" t="s">
        <v>64</v>
      </c>
      <c r="C18" s="32">
        <v>14280</v>
      </c>
      <c r="D18" s="19">
        <v>2.8240399159663867</v>
      </c>
    </row>
    <row r="19" spans="1:4">
      <c r="A19" s="67"/>
      <c r="B19" s="25" t="s">
        <v>65</v>
      </c>
      <c r="C19" s="50">
        <v>0</v>
      </c>
      <c r="D19" s="50">
        <v>0</v>
      </c>
    </row>
    <row r="20" spans="1:4" s="15" customFormat="1">
      <c r="A20" s="67">
        <v>5</v>
      </c>
      <c r="B20" s="13" t="s">
        <v>81</v>
      </c>
      <c r="C20" s="40"/>
      <c r="D20" s="40"/>
    </row>
    <row r="21" spans="1:4">
      <c r="A21" s="67"/>
      <c r="B21" s="25" t="s">
        <v>64</v>
      </c>
      <c r="C21" s="32">
        <v>9548</v>
      </c>
      <c r="D21" s="41">
        <v>2.7794868035190619</v>
      </c>
    </row>
    <row r="22" spans="1:4">
      <c r="A22" s="67"/>
      <c r="B22" s="25" t="s">
        <v>65</v>
      </c>
      <c r="C22" s="39">
        <v>13.95</v>
      </c>
      <c r="D22" s="41">
        <v>896.19059000000004</v>
      </c>
    </row>
    <row r="23" spans="1:4">
      <c r="A23" s="67">
        <v>6</v>
      </c>
      <c r="B23" s="13" t="s">
        <v>68</v>
      </c>
      <c r="C23" s="21"/>
      <c r="D23" s="22"/>
    </row>
    <row r="24" spans="1:4">
      <c r="A24" s="67"/>
      <c r="B24" s="25" t="s">
        <v>64</v>
      </c>
      <c r="C24" s="32">
        <v>91917</v>
      </c>
      <c r="D24" s="19">
        <v>3.0048612697687411</v>
      </c>
    </row>
    <row r="25" spans="1:4">
      <c r="A25" s="67"/>
      <c r="B25" s="25" t="s">
        <v>65</v>
      </c>
      <c r="C25" s="32">
        <f>74.8+31.203</f>
        <v>106.003</v>
      </c>
      <c r="D25" s="19">
        <v>896.37828999999999</v>
      </c>
    </row>
    <row r="26" spans="1:4">
      <c r="A26" s="67">
        <v>7</v>
      </c>
      <c r="B26" s="13" t="s">
        <v>69</v>
      </c>
      <c r="C26" s="32"/>
      <c r="D26" s="19"/>
    </row>
    <row r="27" spans="1:4">
      <c r="A27" s="67"/>
      <c r="B27" s="25" t="s">
        <v>64</v>
      </c>
      <c r="C27" s="32">
        <v>148501</v>
      </c>
      <c r="D27" s="19">
        <v>2.8170930162086449</v>
      </c>
    </row>
    <row r="28" spans="1:4">
      <c r="A28" s="67"/>
      <c r="B28" s="25" t="s">
        <v>65</v>
      </c>
      <c r="C28" s="32">
        <v>162</v>
      </c>
      <c r="D28" s="19">
        <v>894.02769000000001</v>
      </c>
    </row>
    <row r="29" spans="1:4">
      <c r="A29" s="67">
        <v>8</v>
      </c>
      <c r="B29" s="13" t="s">
        <v>70</v>
      </c>
      <c r="C29" s="32"/>
      <c r="D29" s="19"/>
    </row>
    <row r="30" spans="1:4">
      <c r="A30" s="67"/>
      <c r="B30" s="25" t="s">
        <v>64</v>
      </c>
      <c r="C30" s="32">
        <v>419048</v>
      </c>
      <c r="D30" s="19">
        <v>2.8092889915554626</v>
      </c>
    </row>
    <row r="31" spans="1:4">
      <c r="A31" s="67"/>
      <c r="B31" s="25" t="s">
        <v>65</v>
      </c>
      <c r="C31" s="32">
        <f>24+18+19+18+18+9+72+7+12+5+113+56+20+3+13+24+24+3+21+15+25+21+23+14+17+19+24</f>
        <v>637</v>
      </c>
      <c r="D31" s="19">
        <v>943.55816000000004</v>
      </c>
    </row>
    <row r="32" spans="1:4">
      <c r="A32" s="67">
        <v>9</v>
      </c>
      <c r="B32" s="13" t="s">
        <v>86</v>
      </c>
      <c r="C32" s="32"/>
      <c r="D32" s="19"/>
    </row>
    <row r="33" spans="1:4">
      <c r="A33" s="67"/>
      <c r="B33" s="25" t="s">
        <v>64</v>
      </c>
      <c r="C33" s="32">
        <v>14709</v>
      </c>
      <c r="D33" s="51">
        <f>'[2]Ноябрь 2020'!G64/'[2]Ноябрь 2020'!F64/1.2</f>
        <v>2.7223652185736622</v>
      </c>
    </row>
    <row r="34" spans="1:4">
      <c r="A34" s="67"/>
      <c r="B34" s="25" t="s">
        <v>65</v>
      </c>
      <c r="C34" s="32">
        <v>22</v>
      </c>
      <c r="D34" s="19">
        <v>917.35663</v>
      </c>
    </row>
    <row r="35" spans="1:4">
      <c r="A35" s="67">
        <v>10</v>
      </c>
      <c r="B35" s="13" t="s">
        <v>71</v>
      </c>
      <c r="C35" s="32"/>
      <c r="D35" s="19"/>
    </row>
    <row r="36" spans="1:4">
      <c r="A36" s="67"/>
      <c r="B36" s="25" t="s">
        <v>64</v>
      </c>
      <c r="C36" s="32">
        <v>21782.044999999998</v>
      </c>
      <c r="D36" s="19">
        <v>3.1026402709203844</v>
      </c>
    </row>
    <row r="37" spans="1:4">
      <c r="A37" s="67"/>
      <c r="B37" s="25" t="s">
        <v>65</v>
      </c>
      <c r="C37" s="18">
        <v>0</v>
      </c>
      <c r="D37" s="19">
        <v>0</v>
      </c>
    </row>
    <row r="38" spans="1:4">
      <c r="A38" s="67">
        <v>11</v>
      </c>
      <c r="B38" s="13" t="s">
        <v>72</v>
      </c>
      <c r="C38" s="18"/>
      <c r="D38" s="19"/>
    </row>
    <row r="39" spans="1:4">
      <c r="A39" s="67"/>
      <c r="B39" s="25" t="s">
        <v>64</v>
      </c>
      <c r="C39" s="32">
        <v>15435</v>
      </c>
      <c r="D39" s="19">
        <v>3.3011499838030454</v>
      </c>
    </row>
    <row r="40" spans="1:4">
      <c r="A40" s="67"/>
      <c r="B40" s="25" t="s">
        <v>65</v>
      </c>
      <c r="C40" s="32">
        <v>0</v>
      </c>
      <c r="D40" s="19">
        <v>0</v>
      </c>
    </row>
    <row r="41" spans="1:4">
      <c r="A41" s="67">
        <v>12</v>
      </c>
      <c r="B41" s="13" t="s">
        <v>78</v>
      </c>
      <c r="C41" s="32"/>
      <c r="D41" s="19"/>
    </row>
    <row r="42" spans="1:4">
      <c r="A42" s="67"/>
      <c r="B42" s="25" t="s">
        <v>64</v>
      </c>
      <c r="C42" s="32">
        <v>866597</v>
      </c>
      <c r="D42" s="19">
        <v>2.7994822045310559</v>
      </c>
    </row>
    <row r="43" spans="1:4">
      <c r="A43" s="67"/>
      <c r="B43" s="25" t="s">
        <v>65</v>
      </c>
      <c r="C43" s="32">
        <f>1330.74+32.7</f>
        <v>1363.44</v>
      </c>
      <c r="D43" s="19">
        <v>895.01350000000002</v>
      </c>
    </row>
    <row r="44" spans="1:4">
      <c r="A44" s="67">
        <v>13</v>
      </c>
      <c r="B44" s="13" t="s">
        <v>82</v>
      </c>
      <c r="C44" s="32"/>
      <c r="D44" s="19"/>
    </row>
    <row r="45" spans="1:4">
      <c r="A45" s="67"/>
      <c r="B45" s="25" t="s">
        <v>64</v>
      </c>
      <c r="C45" s="32">
        <v>24802</v>
      </c>
      <c r="D45" s="19">
        <v>2.8871732118377551</v>
      </c>
    </row>
    <row r="46" spans="1:4">
      <c r="A46" s="67"/>
      <c r="B46" s="25" t="s">
        <v>65</v>
      </c>
      <c r="C46" s="32">
        <v>14</v>
      </c>
      <c r="D46" s="19">
        <v>894.95011</v>
      </c>
    </row>
    <row r="47" spans="1:4">
      <c r="A47" s="67">
        <v>14</v>
      </c>
      <c r="B47" s="13" t="s">
        <v>91</v>
      </c>
      <c r="C47" s="32"/>
      <c r="D47" s="19"/>
    </row>
    <row r="48" spans="1:4">
      <c r="A48" s="67"/>
      <c r="B48" s="25" t="s">
        <v>64</v>
      </c>
      <c r="C48" s="43">
        <v>18339</v>
      </c>
      <c r="D48" s="19">
        <v>2.9940445680426051</v>
      </c>
    </row>
    <row r="49" spans="1:6">
      <c r="A49" s="67"/>
      <c r="B49" s="25" t="s">
        <v>65</v>
      </c>
      <c r="C49" s="18">
        <v>12.345000000000001</v>
      </c>
      <c r="D49" s="19">
        <v>893.64209000000005</v>
      </c>
    </row>
    <row r="50" spans="1:6">
      <c r="A50" s="67">
        <v>15</v>
      </c>
      <c r="B50" s="13" t="s">
        <v>92</v>
      </c>
      <c r="C50" s="18"/>
      <c r="D50" s="19"/>
    </row>
    <row r="51" spans="1:6">
      <c r="A51" s="67"/>
      <c r="B51" s="25" t="s">
        <v>64</v>
      </c>
      <c r="C51" s="32">
        <v>7980</v>
      </c>
      <c r="D51" s="19">
        <v>3.6734097744360903</v>
      </c>
    </row>
    <row r="52" spans="1:6">
      <c r="A52" s="67"/>
      <c r="B52" s="25" t="s">
        <v>65</v>
      </c>
      <c r="C52" s="32">
        <v>0</v>
      </c>
      <c r="D52" s="19">
        <v>0</v>
      </c>
    </row>
    <row r="53" spans="1:6">
      <c r="A53" s="67">
        <v>16</v>
      </c>
      <c r="B53" s="13" t="s">
        <v>79</v>
      </c>
      <c r="C53" s="32"/>
      <c r="D53" s="19"/>
    </row>
    <row r="54" spans="1:6">
      <c r="A54" s="67"/>
      <c r="B54" s="25" t="s">
        <v>64</v>
      </c>
      <c r="C54" s="32">
        <v>63989</v>
      </c>
      <c r="D54" s="44">
        <v>2.7310897185453755</v>
      </c>
      <c r="F54" s="35"/>
    </row>
    <row r="55" spans="1:6">
      <c r="A55" s="67"/>
      <c r="B55" s="25" t="s">
        <v>65</v>
      </c>
      <c r="C55" s="32">
        <f>8+14</f>
        <v>22</v>
      </c>
      <c r="D55" s="19">
        <v>907.09132</v>
      </c>
    </row>
    <row r="56" spans="1:6">
      <c r="A56" s="67">
        <v>17</v>
      </c>
      <c r="B56" s="13" t="s">
        <v>80</v>
      </c>
      <c r="C56" s="32"/>
      <c r="D56" s="44"/>
    </row>
    <row r="57" spans="1:6">
      <c r="A57" s="67"/>
      <c r="B57" s="25" t="s">
        <v>64</v>
      </c>
      <c r="C57" s="32">
        <v>76786</v>
      </c>
      <c r="D57" s="44">
        <v>3.1014472690334176</v>
      </c>
    </row>
    <row r="58" spans="1:6">
      <c r="A58" s="67"/>
      <c r="B58" s="25" t="s">
        <v>65</v>
      </c>
      <c r="C58" s="32">
        <f>15+21+23+13+7+6+17+10</f>
        <v>112</v>
      </c>
      <c r="D58" s="19">
        <v>978.19650000000001</v>
      </c>
    </row>
    <row r="59" spans="1:6">
      <c r="A59" s="67">
        <v>18</v>
      </c>
      <c r="B59" s="13" t="s">
        <v>83</v>
      </c>
      <c r="C59" s="32"/>
      <c r="D59" s="19"/>
    </row>
    <row r="60" spans="1:6">
      <c r="A60" s="67"/>
      <c r="B60" s="25" t="s">
        <v>64</v>
      </c>
      <c r="C60" s="32">
        <v>14316</v>
      </c>
      <c r="D60" s="44">
        <v>2.3704498463257897</v>
      </c>
    </row>
    <row r="61" spans="1:6">
      <c r="A61" s="67"/>
      <c r="B61" s="25" t="s">
        <v>65</v>
      </c>
      <c r="C61" s="32">
        <v>0</v>
      </c>
      <c r="D61" s="19">
        <v>0</v>
      </c>
    </row>
    <row r="62" spans="1:6">
      <c r="A62" s="67">
        <v>19</v>
      </c>
      <c r="B62" s="13" t="s">
        <v>84</v>
      </c>
      <c r="C62" s="32"/>
      <c r="D62" s="19"/>
    </row>
    <row r="63" spans="1:6">
      <c r="A63" s="67"/>
      <c r="B63" s="25" t="s">
        <v>64</v>
      </c>
      <c r="C63" s="32">
        <v>12519</v>
      </c>
      <c r="D63" s="44">
        <v>3.4794496365524403</v>
      </c>
    </row>
    <row r="64" spans="1:6">
      <c r="A64" s="67"/>
      <c r="B64" s="25" t="s">
        <v>65</v>
      </c>
      <c r="C64" s="32">
        <v>0</v>
      </c>
      <c r="D64" s="19">
        <v>0</v>
      </c>
    </row>
    <row r="65" spans="1:4">
      <c r="A65" s="67">
        <v>20</v>
      </c>
      <c r="B65" s="42" t="s">
        <v>85</v>
      </c>
      <c r="C65" s="32"/>
      <c r="D65" s="19"/>
    </row>
    <row r="66" spans="1:4">
      <c r="A66" s="67"/>
      <c r="B66" s="25" t="s">
        <v>64</v>
      </c>
      <c r="C66" s="32">
        <v>20528</v>
      </c>
      <c r="D66" s="44">
        <v>2.7368345674201087</v>
      </c>
    </row>
    <row r="67" spans="1:4">
      <c r="A67" s="67"/>
      <c r="B67" s="25" t="s">
        <v>65</v>
      </c>
      <c r="C67" s="32">
        <v>33</v>
      </c>
      <c r="D67" s="19">
        <v>896.84625000000005</v>
      </c>
    </row>
    <row r="68" spans="1:4">
      <c r="A68" s="67">
        <v>21</v>
      </c>
      <c r="B68" s="13" t="s">
        <v>87</v>
      </c>
      <c r="C68" s="32"/>
      <c r="D68" s="19"/>
    </row>
    <row r="69" spans="1:4">
      <c r="A69" s="67"/>
      <c r="B69" s="25" t="s">
        <v>64</v>
      </c>
      <c r="C69" s="32">
        <v>21817</v>
      </c>
      <c r="D69" s="44">
        <v>2.8536407388733553</v>
      </c>
    </row>
    <row r="70" spans="1:4">
      <c r="A70" s="67"/>
      <c r="B70" s="25" t="s">
        <v>65</v>
      </c>
      <c r="C70" s="32">
        <v>41</v>
      </c>
      <c r="D70" s="19">
        <v>761.72231999999997</v>
      </c>
    </row>
    <row r="71" spans="1:4">
      <c r="A71" s="67">
        <v>22</v>
      </c>
      <c r="B71" s="13" t="s">
        <v>93</v>
      </c>
      <c r="C71" s="32"/>
      <c r="D71" s="19"/>
    </row>
    <row r="72" spans="1:4">
      <c r="A72" s="67"/>
      <c r="B72" s="25" t="s">
        <v>64</v>
      </c>
      <c r="C72" s="32">
        <v>58107</v>
      </c>
      <c r="D72" s="44">
        <v>2.6986078843053902</v>
      </c>
    </row>
    <row r="73" spans="1:4">
      <c r="A73" s="67"/>
      <c r="B73" s="25" t="s">
        <v>65</v>
      </c>
      <c r="C73" s="32">
        <f>66+11</f>
        <v>77</v>
      </c>
      <c r="D73" s="19">
        <v>894.49145999999996</v>
      </c>
    </row>
    <row r="74" spans="1:4">
      <c r="A74" s="67">
        <v>23</v>
      </c>
      <c r="B74" s="13" t="s">
        <v>73</v>
      </c>
      <c r="C74" s="18"/>
      <c r="D74" s="26"/>
    </row>
    <row r="75" spans="1:4">
      <c r="A75" s="45"/>
      <c r="B75" s="25" t="s">
        <v>64</v>
      </c>
      <c r="C75" s="18"/>
      <c r="D75" s="19"/>
    </row>
    <row r="76" spans="1:4">
      <c r="A76" s="45"/>
      <c r="B76" s="25" t="s">
        <v>65</v>
      </c>
      <c r="C76" s="18"/>
      <c r="D76" s="26"/>
    </row>
    <row r="77" spans="1:4" s="15" customFormat="1">
      <c r="A77" s="67">
        <v>24</v>
      </c>
      <c r="B77" s="13" t="s">
        <v>74</v>
      </c>
      <c r="C77" s="21"/>
      <c r="D77" s="22"/>
    </row>
    <row r="78" spans="1:4">
      <c r="A78" s="45"/>
      <c r="B78" s="17" t="s">
        <v>64</v>
      </c>
      <c r="C78" s="32">
        <v>13666369</v>
      </c>
      <c r="D78" s="44">
        <v>3.6968711355103419</v>
      </c>
    </row>
    <row r="79" spans="1:4">
      <c r="A79" s="45"/>
      <c r="B79" s="17" t="s">
        <v>65</v>
      </c>
      <c r="C79" s="18">
        <v>0</v>
      </c>
      <c r="D79" s="19">
        <v>0</v>
      </c>
    </row>
    <row r="80" spans="1:4" s="15" customFormat="1">
      <c r="A80" s="67">
        <v>25</v>
      </c>
      <c r="B80" s="13" t="s">
        <v>88</v>
      </c>
      <c r="C80" s="21"/>
      <c r="D80" s="22"/>
    </row>
    <row r="81" spans="1:4">
      <c r="A81" s="45"/>
      <c r="B81" s="25" t="s">
        <v>64</v>
      </c>
      <c r="C81" s="32">
        <v>15338</v>
      </c>
      <c r="D81" s="44">
        <v>2.8596485852131965</v>
      </c>
    </row>
    <row r="82" spans="1:4">
      <c r="A82" s="45"/>
      <c r="B82" s="25" t="s">
        <v>65</v>
      </c>
      <c r="C82" s="18">
        <v>24</v>
      </c>
      <c r="D82" s="19">
        <v>943.55816000000004</v>
      </c>
    </row>
    <row r="83" spans="1:4">
      <c r="A83" s="67">
        <v>26</v>
      </c>
      <c r="B83" s="13" t="s">
        <v>75</v>
      </c>
      <c r="C83" s="18"/>
      <c r="D83" s="19"/>
    </row>
    <row r="84" spans="1:4">
      <c r="A84" s="45"/>
      <c r="B84" s="25" t="s">
        <v>64</v>
      </c>
      <c r="C84" s="18">
        <v>0</v>
      </c>
      <c r="D84" s="19">
        <v>0</v>
      </c>
    </row>
    <row r="85" spans="1:4">
      <c r="A85" s="45"/>
      <c r="B85" s="25" t="s">
        <v>65</v>
      </c>
      <c r="C85" s="18">
        <v>0</v>
      </c>
      <c r="D85" s="19">
        <v>0</v>
      </c>
    </row>
    <row r="86" spans="1:4">
      <c r="A86" s="76" t="s">
        <v>76</v>
      </c>
      <c r="B86" s="76"/>
      <c r="C86" s="33">
        <f>C9+C12+C15+C18+C21+C24+C27+C30+C33+C36+C39+C42+C45+C48+C51+C54+C57+C60+C63+C66+C69+C72+C78+C81+C84</f>
        <v>17693537.045000002</v>
      </c>
      <c r="D86" s="64"/>
    </row>
    <row r="87" spans="1:4">
      <c r="A87" s="76" t="s">
        <v>77</v>
      </c>
      <c r="B87" s="76"/>
      <c r="C87" s="33">
        <f>C10+C13+C16+C19+C22+C25+C28+C31+C34+C37+C40+C43+C46+C49+C52+C55+C58+C61+C64+C67+C70+C73+C79+C82+C85</f>
        <v>5711.7380000000003</v>
      </c>
      <c r="D87" s="64"/>
    </row>
    <row r="90" spans="1:4">
      <c r="C90" s="35"/>
    </row>
    <row r="91" spans="1:4">
      <c r="C91" s="47"/>
    </row>
    <row r="93" spans="1:4">
      <c r="C93" s="48"/>
    </row>
    <row r="94" spans="1:4">
      <c r="C94" s="47"/>
    </row>
    <row r="95" spans="1:4">
      <c r="C95" s="48"/>
    </row>
    <row r="102" spans="3:3">
      <c r="C102" s="48"/>
    </row>
  </sheetData>
  <mergeCells count="8">
    <mergeCell ref="A86:B86"/>
    <mergeCell ref="A87:B87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37E7-95D1-4B9B-8D64-0E1D64ADB549}">
  <sheetPr>
    <pageSetUpPr fitToPage="1"/>
  </sheetPr>
  <dimension ref="A1:J102"/>
  <sheetViews>
    <sheetView topLeftCell="A55" zoomScale="87" zoomScaleNormal="87" workbookViewId="0">
      <selection activeCell="C82" sqref="C82"/>
    </sheetView>
  </sheetViews>
  <sheetFormatPr defaultRowHeight="15.75"/>
  <cols>
    <col min="1" max="1" width="9.140625" style="11"/>
    <col min="2" max="2" width="52.140625" style="11" customWidth="1"/>
    <col min="3" max="3" width="13.28515625" style="11" customWidth="1"/>
    <col min="4" max="4" width="12.140625" style="11" customWidth="1"/>
    <col min="5" max="5" width="12.5703125" style="11" bestFit="1" customWidth="1"/>
    <col min="6" max="7" width="11.28515625" style="11" customWidth="1"/>
    <col min="8" max="8" width="11.5703125" style="11" bestFit="1" customWidth="1"/>
    <col min="9" max="16384" width="9.140625" style="11"/>
  </cols>
  <sheetData>
    <row r="1" spans="1:10" ht="37.5" customHeight="1">
      <c r="B1" s="77" t="s">
        <v>55</v>
      </c>
      <c r="C1" s="77"/>
      <c r="D1" s="77"/>
      <c r="F1" s="78"/>
      <c r="G1" s="78"/>
      <c r="H1" s="78"/>
      <c r="I1" s="78"/>
      <c r="J1" s="78"/>
    </row>
    <row r="2" spans="1:10" ht="15.75" customHeight="1">
      <c r="B2" s="65"/>
      <c r="C2" s="65"/>
      <c r="D2" s="65"/>
      <c r="F2" s="66"/>
      <c r="G2" s="66"/>
      <c r="H2" s="66"/>
      <c r="I2" s="66"/>
      <c r="J2" s="66"/>
    </row>
    <row r="3" spans="1:10" ht="48.75" customHeight="1">
      <c r="B3" s="79" t="s">
        <v>56</v>
      </c>
      <c r="C3" s="79"/>
      <c r="D3" s="79"/>
      <c r="E3" s="9"/>
      <c r="F3" s="12"/>
      <c r="G3" s="12"/>
      <c r="H3" s="12"/>
      <c r="I3" s="12"/>
      <c r="J3" s="12"/>
    </row>
    <row r="4" spans="1:10">
      <c r="C4" s="63"/>
      <c r="D4" s="63"/>
      <c r="E4" s="63"/>
    </row>
    <row r="5" spans="1:10" ht="19.5" customHeight="1">
      <c r="A5" s="80" t="s">
        <v>57</v>
      </c>
      <c r="B5" s="80" t="s">
        <v>58</v>
      </c>
      <c r="C5" s="81">
        <v>44166</v>
      </c>
      <c r="D5" s="81"/>
    </row>
    <row r="6" spans="1:10" ht="31.5">
      <c r="A6" s="80"/>
      <c r="B6" s="80"/>
      <c r="C6" s="10" t="s">
        <v>59</v>
      </c>
      <c r="D6" s="67" t="s">
        <v>60</v>
      </c>
    </row>
    <row r="7" spans="1:10">
      <c r="A7" s="80"/>
      <c r="B7" s="80"/>
      <c r="C7" s="67" t="s">
        <v>61</v>
      </c>
      <c r="D7" s="67" t="s">
        <v>62</v>
      </c>
    </row>
    <row r="8" spans="1:10" s="15" customFormat="1">
      <c r="A8" s="67">
        <v>1</v>
      </c>
      <c r="B8" s="13" t="s">
        <v>89</v>
      </c>
      <c r="C8" s="14"/>
      <c r="D8" s="14"/>
      <c r="H8" s="16"/>
    </row>
    <row r="9" spans="1:10">
      <c r="A9" s="67"/>
      <c r="B9" s="17" t="s">
        <v>64</v>
      </c>
      <c r="C9" s="32">
        <v>109</v>
      </c>
      <c r="D9" s="19">
        <v>2.9333333333333336</v>
      </c>
      <c r="F9" s="20"/>
    </row>
    <row r="10" spans="1:10">
      <c r="A10" s="67"/>
      <c r="B10" s="17" t="s">
        <v>65</v>
      </c>
      <c r="C10" s="50">
        <v>0</v>
      </c>
      <c r="D10" s="50">
        <v>0</v>
      </c>
    </row>
    <row r="11" spans="1:10" s="15" customFormat="1">
      <c r="A11" s="67">
        <v>2</v>
      </c>
      <c r="B11" s="13" t="s">
        <v>63</v>
      </c>
      <c r="C11" s="21"/>
      <c r="D11" s="22"/>
    </row>
    <row r="12" spans="1:10">
      <c r="A12" s="67"/>
      <c r="B12" s="17" t="s">
        <v>64</v>
      </c>
      <c r="C12" s="32">
        <v>1662723</v>
      </c>
      <c r="D12" s="19">
        <v>3.3721627865856192</v>
      </c>
      <c r="F12" s="35"/>
      <c r="G12" s="23"/>
    </row>
    <row r="13" spans="1:10">
      <c r="A13" s="67"/>
      <c r="B13" s="17" t="s">
        <v>65</v>
      </c>
      <c r="C13" s="32">
        <v>2305</v>
      </c>
      <c r="D13" s="19">
        <v>869.91150000000005</v>
      </c>
      <c r="E13" s="24"/>
    </row>
    <row r="14" spans="1:10" s="15" customFormat="1">
      <c r="A14" s="67">
        <v>3</v>
      </c>
      <c r="B14" s="13" t="s">
        <v>66</v>
      </c>
      <c r="C14" s="21"/>
      <c r="D14" s="22"/>
    </row>
    <row r="15" spans="1:10">
      <c r="A15" s="67"/>
      <c r="B15" s="25" t="s">
        <v>64</v>
      </c>
      <c r="C15" s="32">
        <v>751907</v>
      </c>
      <c r="D15" s="19">
        <v>2.6880751099094264</v>
      </c>
    </row>
    <row r="16" spans="1:10">
      <c r="A16" s="67"/>
      <c r="B16" s="25" t="s">
        <v>65</v>
      </c>
      <c r="C16" s="32">
        <f>29+20+26+93+29+128+242+12+23+52+25+172+17+73+61</f>
        <v>1002</v>
      </c>
      <c r="D16" s="19">
        <v>843.62216000000001</v>
      </c>
    </row>
    <row r="17" spans="1:4">
      <c r="A17" s="67">
        <v>4</v>
      </c>
      <c r="B17" s="38" t="s">
        <v>90</v>
      </c>
      <c r="C17" s="18"/>
      <c r="D17" s="19"/>
    </row>
    <row r="18" spans="1:4">
      <c r="A18" s="67"/>
      <c r="B18" s="25" t="s">
        <v>64</v>
      </c>
      <c r="C18" s="32">
        <v>17100</v>
      </c>
      <c r="D18" s="19">
        <v>2.5856701754385965</v>
      </c>
    </row>
    <row r="19" spans="1:4">
      <c r="A19" s="67"/>
      <c r="B19" s="25" t="s">
        <v>65</v>
      </c>
      <c r="C19" s="50">
        <v>0</v>
      </c>
      <c r="D19" s="50">
        <v>0</v>
      </c>
    </row>
    <row r="20" spans="1:4" s="15" customFormat="1">
      <c r="A20" s="67">
        <v>5</v>
      </c>
      <c r="B20" s="13" t="s">
        <v>81</v>
      </c>
      <c r="C20" s="40"/>
      <c r="D20" s="40"/>
    </row>
    <row r="21" spans="1:4">
      <c r="A21" s="67"/>
      <c r="B21" s="25" t="s">
        <v>64</v>
      </c>
      <c r="C21" s="32">
        <v>12261</v>
      </c>
      <c r="D21" s="41">
        <v>2.6620569284723921</v>
      </c>
    </row>
    <row r="22" spans="1:4">
      <c r="A22" s="67"/>
      <c r="B22" s="25" t="s">
        <v>65</v>
      </c>
      <c r="C22" s="39">
        <v>17</v>
      </c>
      <c r="D22" s="41">
        <v>843.94132000000002</v>
      </c>
    </row>
    <row r="23" spans="1:4">
      <c r="A23" s="67">
        <v>6</v>
      </c>
      <c r="B23" s="13" t="s">
        <v>68</v>
      </c>
      <c r="C23" s="21"/>
      <c r="D23" s="22"/>
    </row>
    <row r="24" spans="1:4">
      <c r="A24" s="67"/>
      <c r="B24" s="25" t="s">
        <v>64</v>
      </c>
      <c r="C24" s="32">
        <v>115037</v>
      </c>
      <c r="D24" s="19">
        <v>2.8797673791910432</v>
      </c>
    </row>
    <row r="25" spans="1:4">
      <c r="A25" s="67"/>
      <c r="B25" s="25" t="s">
        <v>65</v>
      </c>
      <c r="C25" s="32">
        <f>40.065+44.083+77.322</f>
        <v>161.47</v>
      </c>
      <c r="D25" s="19">
        <v>845.54192</v>
      </c>
    </row>
    <row r="26" spans="1:4">
      <c r="A26" s="67">
        <v>7</v>
      </c>
      <c r="B26" s="13" t="s">
        <v>69</v>
      </c>
      <c r="C26" s="32"/>
      <c r="D26" s="19"/>
    </row>
    <row r="27" spans="1:4">
      <c r="A27" s="67"/>
      <c r="B27" s="25" t="s">
        <v>64</v>
      </c>
      <c r="C27" s="32">
        <v>240049</v>
      </c>
      <c r="D27" s="19">
        <v>2.7249377835358612</v>
      </c>
    </row>
    <row r="28" spans="1:4">
      <c r="A28" s="67"/>
      <c r="B28" s="25" t="s">
        <v>65</v>
      </c>
      <c r="C28" s="32">
        <f>195</f>
        <v>195</v>
      </c>
      <c r="D28" s="19">
        <v>843.01250000000005</v>
      </c>
    </row>
    <row r="29" spans="1:4">
      <c r="A29" s="67">
        <v>8</v>
      </c>
      <c r="B29" s="13" t="s">
        <v>70</v>
      </c>
      <c r="C29" s="32"/>
      <c r="D29" s="19"/>
    </row>
    <row r="30" spans="1:4">
      <c r="A30" s="67"/>
      <c r="B30" s="25" t="s">
        <v>64</v>
      </c>
      <c r="C30" s="32">
        <v>519279</v>
      </c>
      <c r="D30" s="19">
        <v>2.7636991867570226</v>
      </c>
    </row>
    <row r="31" spans="1:4">
      <c r="A31" s="67"/>
      <c r="B31" s="25" t="s">
        <v>65</v>
      </c>
      <c r="C31" s="32">
        <f>23+28+17+9+88+10+13+7+134+67+24+7+13+26+30+5+24+21+25+27+26+17+20+25+25+27+22</f>
        <v>760</v>
      </c>
      <c r="D31" s="19">
        <v>885.59885999999995</v>
      </c>
    </row>
    <row r="32" spans="1:4">
      <c r="A32" s="67">
        <v>9</v>
      </c>
      <c r="B32" s="13" t="s">
        <v>86</v>
      </c>
      <c r="C32" s="32"/>
      <c r="D32" s="19"/>
    </row>
    <row r="33" spans="1:4">
      <c r="A33" s="67"/>
      <c r="B33" s="25" t="s">
        <v>64</v>
      </c>
      <c r="C33" s="32">
        <v>40352</v>
      </c>
      <c r="D33" s="19">
        <v>2.6644324940523392</v>
      </c>
    </row>
    <row r="34" spans="1:4">
      <c r="A34" s="67"/>
      <c r="B34" s="25" t="s">
        <v>65</v>
      </c>
      <c r="C34" s="32">
        <v>0</v>
      </c>
      <c r="D34" s="19">
        <v>0</v>
      </c>
    </row>
    <row r="35" spans="1:4">
      <c r="A35" s="67">
        <v>10</v>
      </c>
      <c r="B35" s="13" t="s">
        <v>71</v>
      </c>
      <c r="C35" s="32"/>
      <c r="D35" s="19"/>
    </row>
    <row r="36" spans="1:4">
      <c r="A36" s="67"/>
      <c r="B36" s="25" t="s">
        <v>64</v>
      </c>
      <c r="C36" s="32">
        <v>33814.112000000001</v>
      </c>
      <c r="D36" s="19">
        <v>3.1171219282647438</v>
      </c>
    </row>
    <row r="37" spans="1:4">
      <c r="A37" s="67"/>
      <c r="B37" s="25" t="s">
        <v>65</v>
      </c>
      <c r="C37" s="18">
        <v>0</v>
      </c>
      <c r="D37" s="19">
        <v>0</v>
      </c>
    </row>
    <row r="38" spans="1:4">
      <c r="A38" s="67">
        <v>11</v>
      </c>
      <c r="B38" s="13" t="s">
        <v>72</v>
      </c>
      <c r="C38" s="18"/>
      <c r="D38" s="19"/>
    </row>
    <row r="39" spans="1:4">
      <c r="A39" s="67"/>
      <c r="B39" s="25" t="s">
        <v>64</v>
      </c>
      <c r="C39" s="32">
        <v>19414</v>
      </c>
      <c r="D39" s="19">
        <v>3.2428998832457681</v>
      </c>
    </row>
    <row r="40" spans="1:4">
      <c r="A40" s="67"/>
      <c r="B40" s="25" t="s">
        <v>65</v>
      </c>
      <c r="C40" s="32">
        <v>0</v>
      </c>
      <c r="D40" s="19">
        <v>0</v>
      </c>
    </row>
    <row r="41" spans="1:4">
      <c r="A41" s="67">
        <v>12</v>
      </c>
      <c r="B41" s="13" t="s">
        <v>78</v>
      </c>
      <c r="C41" s="32"/>
      <c r="D41" s="19"/>
    </row>
    <row r="42" spans="1:4">
      <c r="A42" s="67"/>
      <c r="B42" s="25" t="s">
        <v>64</v>
      </c>
      <c r="C42" s="32">
        <v>998369</v>
      </c>
      <c r="D42" s="19">
        <v>3.1601601391870142</v>
      </c>
    </row>
    <row r="43" spans="1:4">
      <c r="A43" s="67"/>
      <c r="B43" s="25" t="s">
        <v>65</v>
      </c>
      <c r="C43" s="32">
        <v>45.079000000000001</v>
      </c>
      <c r="D43" s="19">
        <v>842.78539999999998</v>
      </c>
    </row>
    <row r="44" spans="1:4">
      <c r="A44" s="67">
        <v>13</v>
      </c>
      <c r="B44" s="13" t="s">
        <v>82</v>
      </c>
      <c r="C44" s="32"/>
      <c r="D44" s="19"/>
    </row>
    <row r="45" spans="1:4">
      <c r="A45" s="67"/>
      <c r="B45" s="25" t="s">
        <v>64</v>
      </c>
      <c r="C45" s="32">
        <v>33117</v>
      </c>
      <c r="D45" s="19">
        <v>2.766744874233777</v>
      </c>
    </row>
    <row r="46" spans="1:4">
      <c r="A46" s="67"/>
      <c r="B46" s="25" t="s">
        <v>65</v>
      </c>
      <c r="C46" s="32">
        <v>18</v>
      </c>
      <c r="D46" s="19">
        <v>844.50545999999997</v>
      </c>
    </row>
    <row r="47" spans="1:4">
      <c r="A47" s="67">
        <v>14</v>
      </c>
      <c r="B47" s="13" t="s">
        <v>91</v>
      </c>
      <c r="C47" s="32"/>
      <c r="D47" s="19"/>
    </row>
    <row r="48" spans="1:4">
      <c r="A48" s="67"/>
      <c r="B48" s="25" t="s">
        <v>64</v>
      </c>
      <c r="C48" s="43">
        <v>24264</v>
      </c>
      <c r="D48" s="19">
        <v>2.8192521156171009</v>
      </c>
    </row>
    <row r="49" spans="1:6">
      <c r="A49" s="67"/>
      <c r="B49" s="25" t="s">
        <v>65</v>
      </c>
      <c r="C49" s="18">
        <v>15.598000000000001</v>
      </c>
      <c r="D49" s="19">
        <v>842.87377000000004</v>
      </c>
    </row>
    <row r="50" spans="1:6">
      <c r="A50" s="67">
        <v>15</v>
      </c>
      <c r="B50" s="13" t="s">
        <v>92</v>
      </c>
      <c r="C50" s="18"/>
      <c r="D50" s="19"/>
    </row>
    <row r="51" spans="1:6">
      <c r="A51" s="67"/>
      <c r="B51" s="25" t="s">
        <v>64</v>
      </c>
      <c r="C51" s="32">
        <v>11550</v>
      </c>
      <c r="D51" s="19">
        <v>3.2710796536796534</v>
      </c>
    </row>
    <row r="52" spans="1:6">
      <c r="A52" s="67"/>
      <c r="B52" s="25" t="s">
        <v>65</v>
      </c>
      <c r="C52" s="32">
        <v>0</v>
      </c>
      <c r="D52" s="19">
        <v>0</v>
      </c>
    </row>
    <row r="53" spans="1:6">
      <c r="A53" s="67">
        <v>16</v>
      </c>
      <c r="B53" s="13" t="s">
        <v>79</v>
      </c>
      <c r="C53" s="32"/>
      <c r="D53" s="19"/>
    </row>
    <row r="54" spans="1:6">
      <c r="A54" s="67"/>
      <c r="B54" s="25" t="s">
        <v>64</v>
      </c>
      <c r="C54" s="32">
        <v>76056</v>
      </c>
      <c r="D54" s="44">
        <v>2.8466990331685422</v>
      </c>
      <c r="F54" s="35"/>
    </row>
    <row r="55" spans="1:6">
      <c r="A55" s="67"/>
      <c r="B55" s="25" t="s">
        <v>65</v>
      </c>
      <c r="C55" s="32">
        <f>66+17+9</f>
        <v>92</v>
      </c>
      <c r="D55" s="19">
        <v>854.84475999999995</v>
      </c>
    </row>
    <row r="56" spans="1:6">
      <c r="A56" s="67">
        <v>17</v>
      </c>
      <c r="B56" s="13" t="s">
        <v>80</v>
      </c>
      <c r="C56" s="32"/>
      <c r="D56" s="44"/>
    </row>
    <row r="57" spans="1:6">
      <c r="A57" s="67"/>
      <c r="B57" s="25" t="s">
        <v>64</v>
      </c>
      <c r="C57" s="32">
        <v>92671</v>
      </c>
      <c r="D57" s="44">
        <v>3.0106478833723607</v>
      </c>
    </row>
    <row r="58" spans="1:6">
      <c r="A58" s="67"/>
      <c r="B58" s="25" t="s">
        <v>65</v>
      </c>
      <c r="C58" s="32">
        <f>17+23+23+15+9+9+20+11</f>
        <v>127</v>
      </c>
      <c r="D58" s="19">
        <v>929.04931999999997</v>
      </c>
    </row>
    <row r="59" spans="1:6">
      <c r="A59" s="67">
        <v>18</v>
      </c>
      <c r="B59" s="13" t="s">
        <v>83</v>
      </c>
      <c r="C59" s="32"/>
      <c r="D59" s="19"/>
    </row>
    <row r="60" spans="1:6">
      <c r="A60" s="67"/>
      <c r="B60" s="25" t="s">
        <v>64</v>
      </c>
      <c r="C60" s="32">
        <v>18049</v>
      </c>
      <c r="D60" s="44">
        <v>2.3226001440523021</v>
      </c>
    </row>
    <row r="61" spans="1:6">
      <c r="A61" s="67"/>
      <c r="B61" s="25" t="s">
        <v>65</v>
      </c>
      <c r="C61" s="32">
        <v>0</v>
      </c>
      <c r="D61" s="19">
        <v>0</v>
      </c>
    </row>
    <row r="62" spans="1:6">
      <c r="A62" s="67">
        <v>19</v>
      </c>
      <c r="B62" s="13" t="s">
        <v>84</v>
      </c>
      <c r="C62" s="32"/>
      <c r="D62" s="19"/>
    </row>
    <row r="63" spans="1:6">
      <c r="A63" s="67"/>
      <c r="B63" s="25" t="s">
        <v>64</v>
      </c>
      <c r="C63" s="32">
        <v>31997</v>
      </c>
      <c r="D63" s="44">
        <v>3.188708316404663</v>
      </c>
    </row>
    <row r="64" spans="1:6">
      <c r="A64" s="67"/>
      <c r="B64" s="25" t="s">
        <v>65</v>
      </c>
      <c r="C64" s="32">
        <v>24</v>
      </c>
      <c r="D64" s="19">
        <v>863.16079999999999</v>
      </c>
    </row>
    <row r="65" spans="1:4">
      <c r="A65" s="67">
        <v>20</v>
      </c>
      <c r="B65" s="42" t="s">
        <v>85</v>
      </c>
      <c r="C65" s="32"/>
      <c r="D65" s="19"/>
    </row>
    <row r="66" spans="1:4">
      <c r="A66" s="67"/>
      <c r="B66" s="25" t="s">
        <v>64</v>
      </c>
      <c r="C66" s="32">
        <v>22643</v>
      </c>
      <c r="D66" s="44">
        <v>2.7113593605087667</v>
      </c>
    </row>
    <row r="67" spans="1:4">
      <c r="A67" s="67"/>
      <c r="B67" s="25" t="s">
        <v>65</v>
      </c>
      <c r="C67" s="32">
        <v>0</v>
      </c>
      <c r="D67" s="19">
        <v>0</v>
      </c>
    </row>
    <row r="68" spans="1:4">
      <c r="A68" s="67">
        <v>21</v>
      </c>
      <c r="B68" s="13" t="s">
        <v>87</v>
      </c>
      <c r="C68" s="32"/>
      <c r="D68" s="19"/>
    </row>
    <row r="69" spans="1:4">
      <c r="A69" s="67"/>
      <c r="B69" s="25" t="s">
        <v>64</v>
      </c>
      <c r="C69" s="32">
        <v>23188</v>
      </c>
      <c r="D69" s="44">
        <v>2.595408400897016</v>
      </c>
    </row>
    <row r="70" spans="1:4">
      <c r="A70" s="67"/>
      <c r="B70" s="25" t="s">
        <v>65</v>
      </c>
      <c r="C70" s="32">
        <v>35</v>
      </c>
      <c r="D70" s="19">
        <v>691.33906000000002</v>
      </c>
    </row>
    <row r="71" spans="1:4">
      <c r="A71" s="67">
        <v>22</v>
      </c>
      <c r="B71" s="13" t="s">
        <v>93</v>
      </c>
      <c r="C71" s="32"/>
      <c r="D71" s="19"/>
    </row>
    <row r="72" spans="1:4">
      <c r="A72" s="67"/>
      <c r="B72" s="25" t="s">
        <v>64</v>
      </c>
      <c r="C72" s="32">
        <v>75856</v>
      </c>
      <c r="D72" s="44">
        <v>2.6477843985094567</v>
      </c>
    </row>
    <row r="73" spans="1:4">
      <c r="A73" s="67"/>
      <c r="B73" s="25" t="s">
        <v>65</v>
      </c>
      <c r="C73" s="32">
        <v>98</v>
      </c>
      <c r="D73" s="19">
        <v>843.64201000000003</v>
      </c>
    </row>
    <row r="74" spans="1:4">
      <c r="A74" s="67">
        <v>23</v>
      </c>
      <c r="B74" s="13" t="s">
        <v>73</v>
      </c>
      <c r="C74" s="18"/>
      <c r="D74" s="26"/>
    </row>
    <row r="75" spans="1:4">
      <c r="A75" s="45"/>
      <c r="B75" s="25" t="s">
        <v>64</v>
      </c>
      <c r="C75" s="18"/>
      <c r="D75" s="19"/>
    </row>
    <row r="76" spans="1:4">
      <c r="A76" s="45"/>
      <c r="B76" s="25" t="s">
        <v>65</v>
      </c>
      <c r="C76" s="18"/>
      <c r="D76" s="26"/>
    </row>
    <row r="77" spans="1:4" s="15" customFormat="1">
      <c r="A77" s="67">
        <v>24</v>
      </c>
      <c r="B77" s="13" t="s">
        <v>74</v>
      </c>
      <c r="C77" s="21"/>
      <c r="D77" s="22"/>
    </row>
    <row r="78" spans="1:4">
      <c r="A78" s="45"/>
      <c r="B78" s="17" t="s">
        <v>64</v>
      </c>
      <c r="C78" s="32">
        <v>13996942</v>
      </c>
      <c r="D78" s="44">
        <v>3.6628065806564511</v>
      </c>
    </row>
    <row r="79" spans="1:4">
      <c r="A79" s="45"/>
      <c r="B79" s="17" t="s">
        <v>65</v>
      </c>
      <c r="C79" s="18">
        <v>0</v>
      </c>
      <c r="D79" s="19">
        <v>0</v>
      </c>
    </row>
    <row r="80" spans="1:4" s="15" customFormat="1">
      <c r="A80" s="67">
        <v>25</v>
      </c>
      <c r="B80" s="13" t="s">
        <v>88</v>
      </c>
      <c r="C80" s="21"/>
      <c r="D80" s="22"/>
    </row>
    <row r="81" spans="1:4">
      <c r="A81" s="45"/>
      <c r="B81" s="25" t="s">
        <v>64</v>
      </c>
      <c r="C81" s="32">
        <v>18222</v>
      </c>
      <c r="D81" s="44">
        <v>2.7903171989902318</v>
      </c>
    </row>
    <row r="82" spans="1:4">
      <c r="A82" s="45"/>
      <c r="B82" s="25" t="s">
        <v>65</v>
      </c>
      <c r="C82" s="18">
        <v>27</v>
      </c>
      <c r="D82" s="19">
        <v>885.59885999999995</v>
      </c>
    </row>
    <row r="83" spans="1:4">
      <c r="A83" s="67">
        <v>26</v>
      </c>
      <c r="B83" s="13" t="s">
        <v>75</v>
      </c>
      <c r="C83" s="18"/>
      <c r="D83" s="19"/>
    </row>
    <row r="84" spans="1:4">
      <c r="A84" s="45"/>
      <c r="B84" s="25" t="s">
        <v>64</v>
      </c>
      <c r="C84" s="18">
        <v>0</v>
      </c>
      <c r="D84" s="19">
        <v>0</v>
      </c>
    </row>
    <row r="85" spans="1:4">
      <c r="A85" s="45"/>
      <c r="B85" s="25" t="s">
        <v>65</v>
      </c>
      <c r="C85" s="18">
        <v>0</v>
      </c>
      <c r="D85" s="19">
        <v>0</v>
      </c>
    </row>
    <row r="86" spans="1:4">
      <c r="A86" s="76" t="s">
        <v>76</v>
      </c>
      <c r="B86" s="76"/>
      <c r="C86" s="33">
        <f>C9+C12+C15+C18+C21+C24+C27+C30+C33+C36+C39+C42+C45+C48+C51+C54+C57+C60+C63+C66+C69+C72+C78+C81+C84</f>
        <v>18834969.112</v>
      </c>
      <c r="D86" s="64"/>
    </row>
    <row r="87" spans="1:4">
      <c r="A87" s="76" t="s">
        <v>77</v>
      </c>
      <c r="B87" s="76"/>
      <c r="C87" s="33">
        <f>C10+C13+C16+C19+C22+C25+C28+C31+C34+C37+C40+C43+C46+C49+C52+C55+C58+C61+C64+C67+C70+C73+C79+C82+C85</f>
        <v>4922.146999999999</v>
      </c>
      <c r="D87" s="64"/>
    </row>
    <row r="90" spans="1:4">
      <c r="C90" s="35"/>
    </row>
    <row r="91" spans="1:4">
      <c r="C91" s="47"/>
    </row>
    <row r="93" spans="1:4">
      <c r="C93" s="48"/>
    </row>
    <row r="94" spans="1:4">
      <c r="C94" s="47"/>
    </row>
    <row r="95" spans="1:4">
      <c r="C95" s="48"/>
    </row>
    <row r="102" spans="3:3">
      <c r="C102" s="48"/>
    </row>
  </sheetData>
  <mergeCells count="8">
    <mergeCell ref="A86:B86"/>
    <mergeCell ref="A87:B87"/>
    <mergeCell ref="B1:D1"/>
    <mergeCell ref="F1:J1"/>
    <mergeCell ref="B3:D3"/>
    <mergeCell ref="A5:A7"/>
    <mergeCell ref="B5:B7"/>
    <mergeCell ref="C5:D5"/>
  </mergeCells>
  <pageMargins left="0.7" right="0.7" top="0.75" bottom="0.75" header="0.3" footer="0.3"/>
  <pageSetup paperSize="9" scale="4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38"/>
  <sheetViews>
    <sheetView zoomScale="60" zoomScaleNormal="60" workbookViewId="0">
      <pane xSplit="1" ySplit="7" topLeftCell="B8" activePane="bottomRight" state="frozen"/>
      <selection pane="bottomRight" activeCell="B28" sqref="B28"/>
      <selection pane="bottomLeft" activeCell="A6" sqref="A6"/>
      <selection pane="topRight" activeCell="B1" sqref="B1"/>
    </sheetView>
  </sheetViews>
  <sheetFormatPr defaultColWidth="29.42578125" defaultRowHeight="13.9" customHeight="1"/>
  <cols>
    <col min="1" max="1" width="12.85546875" style="11" customWidth="1"/>
    <col min="2" max="2" width="15.140625" style="11" customWidth="1"/>
    <col min="3" max="3" width="26.28515625" style="11" customWidth="1"/>
    <col min="4" max="4" width="21.7109375" style="11" customWidth="1"/>
    <col min="5" max="5" width="27.7109375" style="11" customWidth="1"/>
    <col min="6" max="6" width="20.7109375" style="11" bestFit="1" customWidth="1"/>
    <col min="7" max="7" width="27.7109375" style="11" customWidth="1"/>
    <col min="8" max="8" width="18" style="11" bestFit="1" customWidth="1"/>
    <col min="9" max="9" width="27.7109375" style="11" customWidth="1"/>
    <col min="10" max="10" width="22.85546875" style="11" bestFit="1" customWidth="1"/>
    <col min="11" max="11" width="27.7109375" style="11" customWidth="1"/>
    <col min="12" max="12" width="20.7109375" style="11" customWidth="1"/>
    <col min="13" max="13" width="31.28515625" style="11" customWidth="1"/>
    <col min="14" max="14" width="22.7109375" style="11" bestFit="1" customWidth="1"/>
    <col min="15" max="15" width="27.7109375" style="11" customWidth="1"/>
    <col min="16" max="16" width="18.7109375" style="11" bestFit="1" customWidth="1"/>
    <col min="17" max="17" width="27.7109375" style="11" customWidth="1"/>
    <col min="18" max="18" width="19.42578125" style="11" bestFit="1" customWidth="1"/>
    <col min="19" max="19" width="27.7109375" style="11" customWidth="1"/>
    <col min="20" max="20" width="20.85546875" style="11" bestFit="1" customWidth="1"/>
    <col min="21" max="21" width="27.7109375" style="11" customWidth="1"/>
    <col min="22" max="22" width="21.42578125" style="11" bestFit="1" customWidth="1"/>
    <col min="23" max="23" width="27.7109375" style="11" customWidth="1"/>
    <col min="24" max="24" width="24.28515625" style="11" bestFit="1" customWidth="1"/>
    <col min="25" max="25" width="27.7109375" style="11" customWidth="1"/>
    <col min="26" max="26" width="18.85546875" style="11" customWidth="1"/>
    <col min="27" max="27" width="27.7109375" style="11" customWidth="1"/>
    <col min="28" max="28" width="17.85546875" style="11" bestFit="1" customWidth="1"/>
    <col min="29" max="29" width="27.7109375" style="11" customWidth="1"/>
    <col min="30" max="30" width="17.7109375" style="11" bestFit="1" customWidth="1"/>
    <col min="31" max="31" width="27.7109375" style="11" customWidth="1"/>
    <col min="32" max="32" width="24.28515625" style="11" bestFit="1" customWidth="1"/>
    <col min="33" max="33" width="27.7109375" style="11" customWidth="1"/>
    <col min="34" max="262" width="9.140625" style="11" customWidth="1"/>
    <col min="263" max="263" width="23.28515625" style="11" customWidth="1"/>
    <col min="264" max="16384" width="29.42578125" style="11"/>
  </cols>
  <sheetData>
    <row r="1" spans="1:36" ht="15.75">
      <c r="D1" s="75"/>
      <c r="E1" s="75"/>
      <c r="AC1" s="87" t="s">
        <v>94</v>
      </c>
      <c r="AD1" s="87"/>
      <c r="AE1" s="87"/>
      <c r="AF1" s="87"/>
      <c r="AG1" s="87"/>
    </row>
    <row r="3" spans="1:36" s="27" customFormat="1" ht="24" customHeight="1">
      <c r="A3" s="83" t="s">
        <v>95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6" ht="16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AH4" s="27"/>
      <c r="AI4" s="27"/>
      <c r="AJ4" s="27"/>
    </row>
    <row r="5" spans="1:36" ht="15" customHeight="1">
      <c r="A5" s="84" t="s">
        <v>96</v>
      </c>
      <c r="B5" s="84" t="s">
        <v>97</v>
      </c>
      <c r="C5" s="85" t="s">
        <v>98</v>
      </c>
      <c r="D5" s="84" t="s">
        <v>99</v>
      </c>
      <c r="E5" s="84"/>
      <c r="F5" s="86" t="s">
        <v>99</v>
      </c>
      <c r="G5" s="86"/>
      <c r="H5" s="86" t="s">
        <v>99</v>
      </c>
      <c r="I5" s="86"/>
      <c r="J5" s="86" t="s">
        <v>99</v>
      </c>
      <c r="K5" s="86"/>
      <c r="L5" s="86" t="s">
        <v>99</v>
      </c>
      <c r="M5" s="86"/>
      <c r="N5" s="82" t="s">
        <v>99</v>
      </c>
      <c r="O5" s="82"/>
      <c r="P5" s="82" t="s">
        <v>99</v>
      </c>
      <c r="Q5" s="82"/>
      <c r="R5" s="82" t="s">
        <v>99</v>
      </c>
      <c r="S5" s="82"/>
      <c r="T5" s="82" t="s">
        <v>99</v>
      </c>
      <c r="U5" s="82"/>
      <c r="V5" s="82" t="s">
        <v>99</v>
      </c>
      <c r="W5" s="82"/>
      <c r="X5" s="82" t="s">
        <v>99</v>
      </c>
      <c r="Y5" s="82"/>
      <c r="Z5" s="82" t="s">
        <v>99</v>
      </c>
      <c r="AA5" s="82"/>
      <c r="AB5" s="82" t="s">
        <v>99</v>
      </c>
      <c r="AC5" s="82"/>
      <c r="AD5" s="82" t="s">
        <v>99</v>
      </c>
      <c r="AE5" s="82"/>
      <c r="AF5" s="82" t="s">
        <v>99</v>
      </c>
      <c r="AG5" s="82"/>
      <c r="AH5" s="27"/>
      <c r="AI5" s="27"/>
      <c r="AJ5" s="27"/>
    </row>
    <row r="6" spans="1:36" ht="22.5" customHeight="1">
      <c r="A6" s="84"/>
      <c r="B6" s="84"/>
      <c r="C6" s="85"/>
      <c r="D6" s="84" t="s">
        <v>100</v>
      </c>
      <c r="E6" s="84"/>
      <c r="F6" s="84" t="s">
        <v>101</v>
      </c>
      <c r="G6" s="84"/>
      <c r="H6" s="84" t="s">
        <v>102</v>
      </c>
      <c r="I6" s="84"/>
      <c r="J6" s="84" t="s">
        <v>103</v>
      </c>
      <c r="K6" s="84"/>
      <c r="L6" s="84" t="s">
        <v>104</v>
      </c>
      <c r="M6" s="84"/>
      <c r="N6" s="80" t="s">
        <v>105</v>
      </c>
      <c r="O6" s="80"/>
      <c r="P6" s="80" t="s">
        <v>106</v>
      </c>
      <c r="Q6" s="80"/>
      <c r="R6" s="80" t="s">
        <v>107</v>
      </c>
      <c r="S6" s="80"/>
      <c r="T6" s="80" t="s">
        <v>108</v>
      </c>
      <c r="U6" s="80"/>
      <c r="V6" s="80" t="s">
        <v>109</v>
      </c>
      <c r="W6" s="80"/>
      <c r="X6" s="80" t="s">
        <v>110</v>
      </c>
      <c r="Y6" s="80"/>
      <c r="Z6" s="80" t="s">
        <v>111</v>
      </c>
      <c r="AA6" s="80"/>
      <c r="AB6" s="80" t="s">
        <v>112</v>
      </c>
      <c r="AC6" s="80"/>
      <c r="AD6" s="80" t="s">
        <v>113</v>
      </c>
      <c r="AE6" s="80"/>
      <c r="AF6" s="80" t="s">
        <v>114</v>
      </c>
      <c r="AG6" s="80"/>
      <c r="AH6" s="27"/>
      <c r="AI6" s="27"/>
      <c r="AJ6" s="27"/>
    </row>
    <row r="7" spans="1:36" s="27" customFormat="1" ht="74.25" customHeight="1">
      <c r="A7" s="84"/>
      <c r="B7" s="84"/>
      <c r="C7" s="85"/>
      <c r="D7" s="30" t="s">
        <v>115</v>
      </c>
      <c r="E7" s="68" t="s">
        <v>98</v>
      </c>
      <c r="F7" s="30" t="s">
        <v>115</v>
      </c>
      <c r="G7" s="68" t="s">
        <v>98</v>
      </c>
      <c r="H7" s="30" t="s">
        <v>115</v>
      </c>
      <c r="I7" s="68" t="s">
        <v>98</v>
      </c>
      <c r="J7" s="30" t="s">
        <v>115</v>
      </c>
      <c r="K7" s="68" t="s">
        <v>98</v>
      </c>
      <c r="L7" s="30" t="s">
        <v>115</v>
      </c>
      <c r="M7" s="68" t="s">
        <v>98</v>
      </c>
      <c r="N7" s="30" t="s">
        <v>115</v>
      </c>
      <c r="O7" s="68" t="s">
        <v>98</v>
      </c>
      <c r="P7" s="30" t="s">
        <v>115</v>
      </c>
      <c r="Q7" s="68" t="s">
        <v>98</v>
      </c>
      <c r="R7" s="30" t="s">
        <v>115</v>
      </c>
      <c r="S7" s="68" t="s">
        <v>98</v>
      </c>
      <c r="T7" s="30" t="s">
        <v>115</v>
      </c>
      <c r="U7" s="68" t="s">
        <v>98</v>
      </c>
      <c r="V7" s="30" t="s">
        <v>115</v>
      </c>
      <c r="W7" s="68" t="s">
        <v>98</v>
      </c>
      <c r="X7" s="30" t="s">
        <v>115</v>
      </c>
      <c r="Y7" s="68" t="s">
        <v>98</v>
      </c>
      <c r="Z7" s="30" t="s">
        <v>115</v>
      </c>
      <c r="AA7" s="68" t="s">
        <v>98</v>
      </c>
      <c r="AB7" s="30" t="s">
        <v>115</v>
      </c>
      <c r="AC7" s="68" t="s">
        <v>98</v>
      </c>
      <c r="AD7" s="30" t="s">
        <v>115</v>
      </c>
      <c r="AE7" s="68" t="s">
        <v>98</v>
      </c>
      <c r="AF7" s="30" t="s">
        <v>115</v>
      </c>
      <c r="AG7" s="68" t="s">
        <v>98</v>
      </c>
    </row>
    <row r="8" spans="1:36" s="49" customFormat="1" ht="15.75" customHeight="1">
      <c r="A8" s="36" t="s">
        <v>116</v>
      </c>
      <c r="B8" s="37">
        <f>SUM(C8:AG8)</f>
        <v>3971723.39</v>
      </c>
      <c r="C8" s="37" t="str">
        <f t="shared" ref="C8:C12" si="0">E8</f>
        <v>-</v>
      </c>
      <c r="D8" s="37">
        <v>3336265.39</v>
      </c>
      <c r="E8" s="37" t="s">
        <v>17</v>
      </c>
      <c r="F8" s="37">
        <v>328798</v>
      </c>
      <c r="G8" s="37" t="s">
        <v>17</v>
      </c>
      <c r="H8" s="37">
        <v>55899</v>
      </c>
      <c r="I8" s="37" t="s">
        <v>17</v>
      </c>
      <c r="J8" s="37">
        <v>109599</v>
      </c>
      <c r="K8" s="37" t="s">
        <v>17</v>
      </c>
      <c r="L8" s="37">
        <v>73238</v>
      </c>
      <c r="M8" s="37" t="s">
        <v>17</v>
      </c>
      <c r="N8" s="37">
        <v>23500</v>
      </c>
      <c r="O8" s="37" t="s">
        <v>17</v>
      </c>
      <c r="P8" s="37">
        <v>44424</v>
      </c>
      <c r="Q8" s="37" t="s">
        <v>17</v>
      </c>
      <c r="R8" s="37" t="s">
        <v>17</v>
      </c>
      <c r="S8" s="37" t="s">
        <v>17</v>
      </c>
      <c r="T8" s="37" t="s">
        <v>17</v>
      </c>
      <c r="U8" s="37" t="s">
        <v>17</v>
      </c>
      <c r="V8" s="37" t="s">
        <v>17</v>
      </c>
      <c r="W8" s="37" t="s">
        <v>17</v>
      </c>
      <c r="X8" s="37" t="s">
        <v>17</v>
      </c>
      <c r="Y8" s="37" t="s">
        <v>17</v>
      </c>
      <c r="Z8" s="37" t="s">
        <v>17</v>
      </c>
      <c r="AA8" s="37" t="s">
        <v>17</v>
      </c>
      <c r="AB8" s="37" t="s">
        <v>17</v>
      </c>
      <c r="AC8" s="37" t="s">
        <v>17</v>
      </c>
      <c r="AD8" s="37" t="s">
        <v>17</v>
      </c>
      <c r="AE8" s="37" t="s">
        <v>17</v>
      </c>
      <c r="AF8" s="37" t="s">
        <v>17</v>
      </c>
      <c r="AG8" s="37" t="s">
        <v>17</v>
      </c>
      <c r="AH8" s="34"/>
      <c r="AI8" s="34"/>
      <c r="AJ8" s="34"/>
    </row>
    <row r="9" spans="1:36" s="34" customFormat="1" ht="15.75" customHeight="1">
      <c r="A9" s="36" t="s">
        <v>117</v>
      </c>
      <c r="B9" s="37">
        <f t="shared" ref="B9:B15" si="1">SUM(C9:AG9)</f>
        <v>4926187.25</v>
      </c>
      <c r="C9" s="37" t="str">
        <f t="shared" si="0"/>
        <v>-</v>
      </c>
      <c r="D9" s="37">
        <v>3567435.2500000005</v>
      </c>
      <c r="E9" s="37" t="s">
        <v>17</v>
      </c>
      <c r="F9" s="37">
        <v>338881</v>
      </c>
      <c r="G9" s="37" t="s">
        <v>17</v>
      </c>
      <c r="H9" s="37">
        <v>55899</v>
      </c>
      <c r="I9" s="37" t="s">
        <v>17</v>
      </c>
      <c r="J9" s="37">
        <v>109599</v>
      </c>
      <c r="K9" s="37" t="s">
        <v>17</v>
      </c>
      <c r="L9" s="37">
        <v>73238</v>
      </c>
      <c r="M9" s="37" t="s">
        <v>17</v>
      </c>
      <c r="N9" s="37">
        <v>23500</v>
      </c>
      <c r="O9" s="37" t="s">
        <v>17</v>
      </c>
      <c r="P9" s="37">
        <v>44424</v>
      </c>
      <c r="Q9" s="37" t="s">
        <v>17</v>
      </c>
      <c r="R9" s="37">
        <v>713211</v>
      </c>
      <c r="S9" s="37" t="s">
        <v>17</v>
      </c>
      <c r="T9" s="37" t="s">
        <v>17</v>
      </c>
      <c r="U9" s="37" t="s">
        <v>17</v>
      </c>
      <c r="V9" s="37" t="s">
        <v>17</v>
      </c>
      <c r="W9" s="37" t="s">
        <v>17</v>
      </c>
      <c r="X9" s="37" t="s">
        <v>17</v>
      </c>
      <c r="Y9" s="37" t="s">
        <v>17</v>
      </c>
      <c r="Z9" s="37" t="s">
        <v>17</v>
      </c>
      <c r="AA9" s="37" t="s">
        <v>17</v>
      </c>
      <c r="AB9" s="37" t="s">
        <v>17</v>
      </c>
      <c r="AC9" s="37" t="s">
        <v>17</v>
      </c>
      <c r="AD9" s="37" t="s">
        <v>17</v>
      </c>
      <c r="AE9" s="37" t="s">
        <v>17</v>
      </c>
      <c r="AF9" s="37" t="s">
        <v>17</v>
      </c>
      <c r="AG9" s="37" t="s">
        <v>17</v>
      </c>
    </row>
    <row r="10" spans="1:36" s="34" customFormat="1" ht="15.75" customHeight="1">
      <c r="A10" s="36" t="s">
        <v>118</v>
      </c>
      <c r="B10" s="37">
        <f t="shared" si="1"/>
        <v>5563381.2699999996</v>
      </c>
      <c r="C10" s="37" t="str">
        <f t="shared" si="0"/>
        <v>-</v>
      </c>
      <c r="D10" s="37">
        <v>3911022.27</v>
      </c>
      <c r="E10" s="37" t="s">
        <v>17</v>
      </c>
      <c r="F10" s="37">
        <v>294665</v>
      </c>
      <c r="G10" s="37" t="s">
        <v>17</v>
      </c>
      <c r="H10" s="37">
        <v>43302</v>
      </c>
      <c r="I10" s="37" t="s">
        <v>17</v>
      </c>
      <c r="J10" s="37">
        <v>84002</v>
      </c>
      <c r="K10" s="37" t="s">
        <v>17</v>
      </c>
      <c r="L10" s="37">
        <v>70713</v>
      </c>
      <c r="M10" s="37" t="s">
        <v>17</v>
      </c>
      <c r="N10" s="37">
        <v>19410</v>
      </c>
      <c r="O10" s="37" t="s">
        <v>17</v>
      </c>
      <c r="P10" s="37">
        <v>31841</v>
      </c>
      <c r="Q10" s="37" t="s">
        <v>17</v>
      </c>
      <c r="R10" s="37">
        <v>1024732</v>
      </c>
      <c r="S10" s="37" t="s">
        <v>17</v>
      </c>
      <c r="T10" s="37">
        <v>44812</v>
      </c>
      <c r="U10" s="37" t="s">
        <v>17</v>
      </c>
      <c r="V10" s="37">
        <v>38882</v>
      </c>
      <c r="W10" s="37" t="s">
        <v>17</v>
      </c>
      <c r="X10" s="37" t="s">
        <v>17</v>
      </c>
      <c r="Y10" s="37" t="s">
        <v>17</v>
      </c>
      <c r="Z10" s="37" t="s">
        <v>17</v>
      </c>
      <c r="AA10" s="37" t="s">
        <v>17</v>
      </c>
      <c r="AB10" s="37" t="s">
        <v>17</v>
      </c>
      <c r="AC10" s="37" t="s">
        <v>17</v>
      </c>
      <c r="AD10" s="37" t="s">
        <v>17</v>
      </c>
      <c r="AE10" s="37" t="s">
        <v>17</v>
      </c>
      <c r="AF10" s="37" t="s">
        <v>17</v>
      </c>
      <c r="AG10" s="37" t="s">
        <v>17</v>
      </c>
    </row>
    <row r="11" spans="1:36" s="34" customFormat="1" ht="14.25" customHeight="1">
      <c r="A11" s="36" t="s">
        <v>119</v>
      </c>
      <c r="B11" s="37">
        <f t="shared" si="1"/>
        <v>5531920.7699999996</v>
      </c>
      <c r="C11" s="37" t="str">
        <f t="shared" si="0"/>
        <v>-</v>
      </c>
      <c r="D11" s="37">
        <v>4126480.77</v>
      </c>
      <c r="E11" s="37" t="s">
        <v>17</v>
      </c>
      <c r="F11" s="37">
        <v>247667</v>
      </c>
      <c r="G11" s="37" t="s">
        <v>17</v>
      </c>
      <c r="H11" s="37">
        <v>37258</v>
      </c>
      <c r="I11" s="37" t="s">
        <v>17</v>
      </c>
      <c r="J11" s="37">
        <v>68397</v>
      </c>
      <c r="K11" s="37" t="s">
        <v>17</v>
      </c>
      <c r="L11" s="37">
        <v>54806</v>
      </c>
      <c r="M11" s="37" t="s">
        <v>17</v>
      </c>
      <c r="N11" s="37">
        <v>15957</v>
      </c>
      <c r="O11" s="37" t="s">
        <v>17</v>
      </c>
      <c r="P11" s="37">
        <v>28065</v>
      </c>
      <c r="Q11" s="37" t="s">
        <v>17</v>
      </c>
      <c r="R11" s="37">
        <v>880303</v>
      </c>
      <c r="S11" s="37" t="s">
        <v>17</v>
      </c>
      <c r="T11" s="37">
        <v>37732</v>
      </c>
      <c r="U11" s="37" t="s">
        <v>17</v>
      </c>
      <c r="V11" s="37">
        <v>28500</v>
      </c>
      <c r="W11" s="37" t="s">
        <v>17</v>
      </c>
      <c r="X11" s="37">
        <v>6755</v>
      </c>
      <c r="Y11" s="37" t="s">
        <v>17</v>
      </c>
      <c r="Z11" s="37" t="s">
        <v>17</v>
      </c>
      <c r="AA11" s="37" t="s">
        <v>17</v>
      </c>
      <c r="AB11" s="37" t="s">
        <v>17</v>
      </c>
      <c r="AC11" s="37" t="s">
        <v>17</v>
      </c>
      <c r="AD11" s="37" t="s">
        <v>17</v>
      </c>
      <c r="AE11" s="37" t="s">
        <v>17</v>
      </c>
      <c r="AF11" s="37" t="s">
        <v>17</v>
      </c>
      <c r="AG11" s="37" t="s">
        <v>17</v>
      </c>
    </row>
    <row r="12" spans="1:36" s="34" customFormat="1" ht="15.75" customHeight="1">
      <c r="A12" s="36" t="s">
        <v>120</v>
      </c>
      <c r="B12" s="37">
        <f t="shared" si="1"/>
        <v>10955801.456757735</v>
      </c>
      <c r="C12" s="37" t="str">
        <f t="shared" si="0"/>
        <v>-</v>
      </c>
      <c r="D12" s="37">
        <v>9368119.4567577355</v>
      </c>
      <c r="E12" s="37" t="s">
        <v>17</v>
      </c>
      <c r="F12" s="37">
        <v>317452</v>
      </c>
      <c r="G12" s="37" t="s">
        <v>17</v>
      </c>
      <c r="H12" s="37">
        <v>30172</v>
      </c>
      <c r="I12" s="37" t="s">
        <v>17</v>
      </c>
      <c r="J12" s="37">
        <v>80570</v>
      </c>
      <c r="K12" s="37" t="s">
        <v>17</v>
      </c>
      <c r="L12" s="37">
        <v>48416</v>
      </c>
      <c r="M12" s="37" t="s">
        <v>17</v>
      </c>
      <c r="N12" s="37">
        <v>15589</v>
      </c>
      <c r="O12" s="37" t="s">
        <v>17</v>
      </c>
      <c r="P12" s="37">
        <v>28426</v>
      </c>
      <c r="Q12" s="37" t="s">
        <v>17</v>
      </c>
      <c r="R12" s="37">
        <v>886789</v>
      </c>
      <c r="S12" s="37" t="s">
        <v>17</v>
      </c>
      <c r="T12" s="37">
        <v>40959</v>
      </c>
      <c r="U12" s="37" t="s">
        <v>17</v>
      </c>
      <c r="V12" s="37">
        <v>58018</v>
      </c>
      <c r="W12" s="37" t="s">
        <v>17</v>
      </c>
      <c r="X12" s="37">
        <v>52096</v>
      </c>
      <c r="Y12" s="37" t="s">
        <v>17</v>
      </c>
      <c r="Z12" s="37">
        <v>9780</v>
      </c>
      <c r="AA12" s="37" t="s">
        <v>17</v>
      </c>
      <c r="AB12" s="37">
        <v>11575</v>
      </c>
      <c r="AC12" s="37" t="s">
        <v>17</v>
      </c>
      <c r="AD12" s="37">
        <v>7840</v>
      </c>
      <c r="AE12" s="37" t="s">
        <v>17</v>
      </c>
      <c r="AF12" s="37" t="s">
        <v>17</v>
      </c>
      <c r="AG12" s="37" t="s">
        <v>17</v>
      </c>
    </row>
    <row r="13" spans="1:36" s="34" customFormat="1" ht="15.75" customHeight="1">
      <c r="A13" s="36" t="s">
        <v>121</v>
      </c>
      <c r="B13" s="37">
        <f t="shared" si="1"/>
        <v>11460567.775917113</v>
      </c>
      <c r="C13" s="37" t="str">
        <f>E13</f>
        <v>-</v>
      </c>
      <c r="D13" s="37">
        <v>9814786.7759171128</v>
      </c>
      <c r="E13" s="37" t="s">
        <v>17</v>
      </c>
      <c r="F13" s="37">
        <v>281087</v>
      </c>
      <c r="G13" s="37" t="s">
        <v>17</v>
      </c>
      <c r="H13" s="37">
        <v>30101</v>
      </c>
      <c r="I13" s="37" t="s">
        <v>17</v>
      </c>
      <c r="J13" s="37">
        <v>76914</v>
      </c>
      <c r="K13" s="37" t="s">
        <v>17</v>
      </c>
      <c r="L13" s="37">
        <v>46925</v>
      </c>
      <c r="M13" s="37" t="s">
        <v>17</v>
      </c>
      <c r="N13" s="37">
        <v>17665</v>
      </c>
      <c r="O13" s="37" t="s">
        <v>17</v>
      </c>
      <c r="P13" s="37">
        <v>30020</v>
      </c>
      <c r="Q13" s="37" t="s">
        <v>17</v>
      </c>
      <c r="R13" s="37">
        <v>1040366</v>
      </c>
      <c r="S13" s="37" t="s">
        <v>17</v>
      </c>
      <c r="T13" s="37">
        <v>37026</v>
      </c>
      <c r="U13" s="37" t="s">
        <v>17</v>
      </c>
      <c r="V13" s="37">
        <v>53013</v>
      </c>
      <c r="W13" s="37" t="s">
        <v>17</v>
      </c>
      <c r="X13" s="37">
        <v>5058</v>
      </c>
      <c r="Y13" s="37" t="s">
        <v>17</v>
      </c>
      <c r="Z13" s="37">
        <v>9696</v>
      </c>
      <c r="AA13" s="37" t="s">
        <v>17</v>
      </c>
      <c r="AB13" s="37">
        <v>10070</v>
      </c>
      <c r="AC13" s="37" t="s">
        <v>17</v>
      </c>
      <c r="AD13" s="37">
        <v>7840</v>
      </c>
      <c r="AE13" s="37" t="s">
        <v>17</v>
      </c>
      <c r="AF13" s="37" t="s">
        <v>17</v>
      </c>
      <c r="AG13" s="37" t="s">
        <v>17</v>
      </c>
    </row>
    <row r="14" spans="1:36" s="34" customFormat="1" ht="15.75" customHeight="1">
      <c r="A14" s="36" t="s">
        <v>122</v>
      </c>
      <c r="B14" s="37">
        <f t="shared" si="1"/>
        <v>13084730.49</v>
      </c>
      <c r="C14" s="37" t="str">
        <f>E14</f>
        <v>-</v>
      </c>
      <c r="D14" s="37">
        <v>11021789.49</v>
      </c>
      <c r="E14" s="37" t="s">
        <v>17</v>
      </c>
      <c r="F14" s="37">
        <v>322971</v>
      </c>
      <c r="G14" s="37" t="s">
        <v>17</v>
      </c>
      <c r="H14" s="37">
        <v>30147</v>
      </c>
      <c r="I14" s="37" t="s">
        <v>17</v>
      </c>
      <c r="J14" s="37">
        <v>88425</v>
      </c>
      <c r="K14" s="37" t="s">
        <v>17</v>
      </c>
      <c r="L14" s="37">
        <v>47683</v>
      </c>
      <c r="M14" s="37" t="s">
        <v>17</v>
      </c>
      <c r="N14" s="37">
        <v>17134</v>
      </c>
      <c r="O14" s="37" t="s">
        <v>17</v>
      </c>
      <c r="P14" s="37">
        <v>30810</v>
      </c>
      <c r="Q14" s="37" t="s">
        <v>17</v>
      </c>
      <c r="R14" s="37">
        <v>1380074</v>
      </c>
      <c r="S14" s="37" t="s">
        <v>17</v>
      </c>
      <c r="T14" s="37">
        <v>31186</v>
      </c>
      <c r="U14" s="37" t="s">
        <v>17</v>
      </c>
      <c r="V14" s="37">
        <v>56962</v>
      </c>
      <c r="W14" s="37" t="s">
        <v>17</v>
      </c>
      <c r="X14" s="37">
        <v>14582</v>
      </c>
      <c r="Y14" s="37" t="s">
        <v>17</v>
      </c>
      <c r="Z14" s="37">
        <v>9653</v>
      </c>
      <c r="AA14" s="37" t="s">
        <v>17</v>
      </c>
      <c r="AB14" s="37">
        <v>11395</v>
      </c>
      <c r="AC14" s="37" t="s">
        <v>17</v>
      </c>
      <c r="AD14" s="37">
        <v>7960</v>
      </c>
      <c r="AE14" s="37" t="s">
        <v>17</v>
      </c>
      <c r="AF14" s="37">
        <v>13959</v>
      </c>
      <c r="AG14" s="37" t="s">
        <v>17</v>
      </c>
    </row>
    <row r="15" spans="1:36" s="34" customFormat="1" ht="15.75" customHeight="1">
      <c r="A15" s="36" t="s">
        <v>123</v>
      </c>
      <c r="B15" s="37">
        <f t="shared" si="1"/>
        <v>23782504.579999998</v>
      </c>
      <c r="C15" s="37" t="str">
        <f t="shared" ref="C15:C19" si="2">E15</f>
        <v>-</v>
      </c>
      <c r="D15" s="37">
        <v>21561951.579999998</v>
      </c>
      <c r="E15" s="37" t="s">
        <v>17</v>
      </c>
      <c r="F15" s="37">
        <v>425548</v>
      </c>
      <c r="G15" s="37" t="s">
        <v>17</v>
      </c>
      <c r="H15" s="37">
        <v>29912</v>
      </c>
      <c r="I15" s="37" t="s">
        <v>17</v>
      </c>
      <c r="J15" s="37">
        <v>90350</v>
      </c>
      <c r="K15" s="37" t="s">
        <v>17</v>
      </c>
      <c r="L15" s="37">
        <v>331282</v>
      </c>
      <c r="M15" s="37" t="s">
        <v>17</v>
      </c>
      <c r="N15" s="37">
        <v>18818</v>
      </c>
      <c r="O15" s="37" t="s">
        <v>17</v>
      </c>
      <c r="P15" s="37">
        <v>29972</v>
      </c>
      <c r="Q15" s="37" t="s">
        <v>17</v>
      </c>
      <c r="R15" s="37">
        <v>1148223</v>
      </c>
      <c r="S15" s="37" t="s">
        <v>17</v>
      </c>
      <c r="T15" s="37">
        <v>32977</v>
      </c>
      <c r="U15" s="37" t="s">
        <v>17</v>
      </c>
      <c r="V15" s="37">
        <v>57030</v>
      </c>
      <c r="W15" s="37" t="s">
        <v>17</v>
      </c>
      <c r="X15" s="37">
        <v>8356</v>
      </c>
      <c r="Y15" s="37" t="s">
        <v>17</v>
      </c>
      <c r="Z15" s="37">
        <v>10019</v>
      </c>
      <c r="AA15" s="37" t="s">
        <v>17</v>
      </c>
      <c r="AB15" s="37">
        <v>12382</v>
      </c>
      <c r="AC15" s="37" t="s">
        <v>17</v>
      </c>
      <c r="AD15" s="37">
        <v>7680</v>
      </c>
      <c r="AE15" s="37" t="s">
        <v>17</v>
      </c>
      <c r="AF15" s="37">
        <v>18004</v>
      </c>
      <c r="AG15" s="37" t="s">
        <v>17</v>
      </c>
    </row>
    <row r="16" spans="1:36" s="34" customFormat="1" ht="15.75" customHeight="1">
      <c r="A16" s="36" t="s">
        <v>124</v>
      </c>
      <c r="B16" s="37">
        <f>SUM(C16:AG16)-E16-C16</f>
        <v>20436126.350000001</v>
      </c>
      <c r="C16" s="37">
        <f t="shared" si="2"/>
        <v>110</v>
      </c>
      <c r="D16" s="37">
        <v>18309239.350000001</v>
      </c>
      <c r="E16" s="37">
        <v>110</v>
      </c>
      <c r="F16" s="37">
        <v>425728</v>
      </c>
      <c r="G16" s="37" t="s">
        <v>17</v>
      </c>
      <c r="H16" s="37">
        <v>28972</v>
      </c>
      <c r="I16" s="37" t="s">
        <v>17</v>
      </c>
      <c r="J16" s="37">
        <v>98514</v>
      </c>
      <c r="K16" s="37" t="s">
        <v>17</v>
      </c>
      <c r="L16" s="37">
        <v>323669</v>
      </c>
      <c r="M16" s="37" t="s">
        <v>17</v>
      </c>
      <c r="N16" s="37">
        <v>17864</v>
      </c>
      <c r="O16" s="37" t="s">
        <v>17</v>
      </c>
      <c r="P16" s="37">
        <v>29382</v>
      </c>
      <c r="Q16" s="37" t="s">
        <v>17</v>
      </c>
      <c r="R16" s="37">
        <v>1036707</v>
      </c>
      <c r="S16" s="37" t="s">
        <v>17</v>
      </c>
      <c r="T16" s="37">
        <v>51593</v>
      </c>
      <c r="U16" s="37" t="s">
        <v>17</v>
      </c>
      <c r="V16" s="37">
        <v>57642</v>
      </c>
      <c r="W16" s="37" t="s">
        <v>17</v>
      </c>
      <c r="X16" s="37">
        <v>7865</v>
      </c>
      <c r="Y16" s="37" t="s">
        <v>17</v>
      </c>
      <c r="Z16" s="37">
        <v>9880</v>
      </c>
      <c r="AA16" s="37" t="s">
        <v>17</v>
      </c>
      <c r="AB16" s="37">
        <v>14484</v>
      </c>
      <c r="AC16" s="37" t="s">
        <v>17</v>
      </c>
      <c r="AD16" s="37">
        <v>6145</v>
      </c>
      <c r="AE16" s="37" t="s">
        <v>17</v>
      </c>
      <c r="AF16" s="37">
        <v>18442</v>
      </c>
      <c r="AG16" s="37" t="s">
        <v>17</v>
      </c>
    </row>
    <row r="17" spans="1:33" s="34" customFormat="1" ht="15.75" customHeight="1">
      <c r="A17" s="36" t="s">
        <v>125</v>
      </c>
      <c r="B17" s="37">
        <f>SUM(C17:AG17)-E17-C17</f>
        <v>17565098.16</v>
      </c>
      <c r="C17" s="37">
        <f>E17</f>
        <v>111</v>
      </c>
      <c r="D17" s="37">
        <v>15558902.16</v>
      </c>
      <c r="E17" s="37">
        <v>111</v>
      </c>
      <c r="F17" s="37">
        <v>507801</v>
      </c>
      <c r="G17" s="37" t="s">
        <v>17</v>
      </c>
      <c r="H17" s="37">
        <v>36352</v>
      </c>
      <c r="I17" s="37" t="s">
        <v>17</v>
      </c>
      <c r="J17" s="37">
        <v>113869</v>
      </c>
      <c r="K17" s="37" t="s">
        <v>17</v>
      </c>
      <c r="L17" s="37">
        <v>389088</v>
      </c>
      <c r="M17" s="37" t="s">
        <v>17</v>
      </c>
      <c r="N17" s="37">
        <v>19448</v>
      </c>
      <c r="O17" s="37" t="s">
        <v>17</v>
      </c>
      <c r="P17" s="37">
        <v>30149</v>
      </c>
      <c r="Q17" s="37" t="s">
        <v>17</v>
      </c>
      <c r="R17" s="37">
        <v>722996</v>
      </c>
      <c r="S17" s="37" t="s">
        <v>17</v>
      </c>
      <c r="T17" s="37">
        <v>50454</v>
      </c>
      <c r="U17" s="37" t="s">
        <v>17</v>
      </c>
      <c r="V17" s="37">
        <v>66236</v>
      </c>
      <c r="W17" s="37" t="s">
        <v>17</v>
      </c>
      <c r="X17" s="37">
        <v>11240</v>
      </c>
      <c r="Y17" s="37" t="s">
        <v>17</v>
      </c>
      <c r="Z17" s="37">
        <v>11421</v>
      </c>
      <c r="AA17" s="37" t="s">
        <v>17</v>
      </c>
      <c r="AB17" s="37">
        <v>16792</v>
      </c>
      <c r="AC17" s="37" t="s">
        <v>17</v>
      </c>
      <c r="AD17" s="37">
        <v>12026</v>
      </c>
      <c r="AE17" s="37" t="s">
        <v>17</v>
      </c>
      <c r="AF17" s="37">
        <v>18324</v>
      </c>
      <c r="AG17" s="37" t="s">
        <v>17</v>
      </c>
    </row>
    <row r="18" spans="1:33" s="34" customFormat="1" ht="15.75" customHeight="1">
      <c r="A18" s="36" t="s">
        <v>126</v>
      </c>
      <c r="B18" s="37">
        <f>SUM(C18:AG18)-E18-C18</f>
        <v>17903333.09</v>
      </c>
      <c r="C18" s="37">
        <f>E18</f>
        <v>108</v>
      </c>
      <c r="D18" s="37">
        <v>15364849.09</v>
      </c>
      <c r="E18" s="37">
        <v>108</v>
      </c>
      <c r="F18" s="37">
        <v>647871</v>
      </c>
      <c r="G18" s="37" t="s">
        <v>17</v>
      </c>
      <c r="H18" s="37">
        <v>91916</v>
      </c>
      <c r="I18" s="37" t="s">
        <v>17</v>
      </c>
      <c r="J18" s="37">
        <v>148501</v>
      </c>
      <c r="K18" s="37" t="s">
        <v>17</v>
      </c>
      <c r="L18" s="37">
        <v>449093</v>
      </c>
      <c r="M18" s="37" t="s">
        <v>17</v>
      </c>
      <c r="N18" s="37">
        <v>21077</v>
      </c>
      <c r="O18" s="37" t="s">
        <v>17</v>
      </c>
      <c r="P18" s="37">
        <v>37933</v>
      </c>
      <c r="Q18" s="37" t="s">
        <v>17</v>
      </c>
      <c r="R18" s="37">
        <v>917708</v>
      </c>
      <c r="S18" s="37" t="s">
        <v>17</v>
      </c>
      <c r="T18" s="37">
        <v>63989</v>
      </c>
      <c r="U18" s="37" t="s">
        <v>17</v>
      </c>
      <c r="V18" s="37">
        <v>76786</v>
      </c>
      <c r="W18" s="37" t="s">
        <v>17</v>
      </c>
      <c r="X18" s="37">
        <v>14313</v>
      </c>
      <c r="Y18" s="37" t="s">
        <v>17</v>
      </c>
      <c r="Z18" s="37">
        <v>12519</v>
      </c>
      <c r="AA18" s="37" t="s">
        <v>17</v>
      </c>
      <c r="AB18" s="37">
        <v>20528</v>
      </c>
      <c r="AC18" s="37" t="s">
        <v>17</v>
      </c>
      <c r="AD18" s="37">
        <v>17437</v>
      </c>
      <c r="AE18" s="37" t="s">
        <v>17</v>
      </c>
      <c r="AF18" s="37">
        <v>18813</v>
      </c>
      <c r="AG18" s="37" t="s">
        <v>17</v>
      </c>
    </row>
    <row r="19" spans="1:33" s="34" customFormat="1" ht="15.75" customHeight="1">
      <c r="A19" s="36" t="s">
        <v>127</v>
      </c>
      <c r="B19" s="37">
        <f>SUM(C19:AG19)-E19-C19</f>
        <v>19256003.34</v>
      </c>
      <c r="C19" s="37">
        <f t="shared" si="2"/>
        <v>109</v>
      </c>
      <c r="D19" s="37">
        <v>16072730.34</v>
      </c>
      <c r="E19" s="37">
        <v>109</v>
      </c>
      <c r="F19" s="37">
        <v>807649</v>
      </c>
      <c r="G19" s="37" t="s">
        <v>17</v>
      </c>
      <c r="H19" s="37">
        <v>115035</v>
      </c>
      <c r="I19" s="37" t="s">
        <v>17</v>
      </c>
      <c r="J19" s="37">
        <v>240049</v>
      </c>
      <c r="K19" s="37" t="s">
        <v>17</v>
      </c>
      <c r="L19" s="37">
        <v>577848</v>
      </c>
      <c r="M19" s="37" t="s">
        <v>17</v>
      </c>
      <c r="N19" s="37">
        <v>36438</v>
      </c>
      <c r="O19" s="37" t="s">
        <v>17</v>
      </c>
      <c r="P19" s="37">
        <v>54202</v>
      </c>
      <c r="Q19" s="37" t="s">
        <v>17</v>
      </c>
      <c r="R19" s="37">
        <v>1067287</v>
      </c>
      <c r="S19" s="37" t="s">
        <v>17</v>
      </c>
      <c r="T19" s="37">
        <v>76056</v>
      </c>
      <c r="U19" s="37" t="s">
        <v>17</v>
      </c>
      <c r="V19" s="37">
        <v>92671</v>
      </c>
      <c r="W19" s="37" t="s">
        <v>17</v>
      </c>
      <c r="X19" s="37">
        <v>18043</v>
      </c>
      <c r="Y19" s="37" t="s">
        <v>17</v>
      </c>
      <c r="Z19" s="37">
        <v>31997</v>
      </c>
      <c r="AA19" s="37" t="s">
        <v>17</v>
      </c>
      <c r="AB19" s="37">
        <v>22643</v>
      </c>
      <c r="AC19" s="37" t="s">
        <v>17</v>
      </c>
      <c r="AD19" s="37">
        <v>23938</v>
      </c>
      <c r="AE19" s="37" t="s">
        <v>17</v>
      </c>
      <c r="AF19" s="37">
        <v>19417</v>
      </c>
      <c r="AG19" s="37" t="s">
        <v>17</v>
      </c>
    </row>
    <row r="20" spans="1:33" s="27" customFormat="1" ht="15.75" customHeight="1">
      <c r="A20" s="28"/>
      <c r="B20" s="29"/>
      <c r="C20" s="29"/>
      <c r="D20" s="29"/>
      <c r="E20" s="2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33" s="27" customFormat="1" ht="15.75" customHeight="1">
      <c r="A21" s="28"/>
      <c r="B21" s="29"/>
      <c r="C21" s="29"/>
      <c r="D21" s="29"/>
      <c r="E21" s="2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33" s="27" customFormat="1" ht="15.75" customHeight="1">
      <c r="A22" s="28"/>
      <c r="B22" s="46"/>
      <c r="C22" s="29"/>
      <c r="D22" s="29"/>
      <c r="E22" s="2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33" s="27" customFormat="1" ht="15.75" customHeight="1">
      <c r="A23" s="28"/>
      <c r="B23" s="29"/>
      <c r="C23" s="29"/>
      <c r="D23" s="29"/>
      <c r="E23" s="29"/>
      <c r="F23" s="35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46"/>
    </row>
    <row r="24" spans="1:33" s="27" customFormat="1" ht="15.75" customHeight="1">
      <c r="A24" s="28"/>
      <c r="B24" s="29"/>
      <c r="C24" s="29"/>
      <c r="D24" s="29"/>
      <c r="E24" s="29"/>
      <c r="F24" s="35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33" s="27" customFormat="1" ht="15.75" customHeight="1">
      <c r="A25" s="28"/>
      <c r="B25" s="29"/>
      <c r="C25" s="29"/>
      <c r="D25" s="29"/>
      <c r="E25" s="29"/>
      <c r="F25" s="35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33" s="27" customFormat="1" ht="15.75" customHeight="1">
      <c r="A26" s="28"/>
      <c r="B26" s="29"/>
      <c r="C26" s="29"/>
      <c r="D26" s="29"/>
      <c r="E26" s="29"/>
      <c r="F26" s="3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33" s="27" customFormat="1" ht="15.75" customHeight="1">
      <c r="A27" s="28"/>
      <c r="B27" s="29"/>
      <c r="C27" s="29"/>
      <c r="D27" s="29"/>
      <c r="E27" s="29"/>
      <c r="F27" s="3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33" s="27" customFormat="1" ht="15.75" customHeight="1">
      <c r="A28" s="28"/>
      <c r="B28" s="29"/>
      <c r="C28" s="29"/>
      <c r="D28" s="29"/>
      <c r="E28" s="29"/>
      <c r="F28" s="3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AD28" s="27" t="s">
        <v>128</v>
      </c>
    </row>
    <row r="29" spans="1:33" s="27" customFormat="1" ht="15.75" customHeight="1">
      <c r="A29" s="28"/>
      <c r="B29" s="29"/>
      <c r="C29" s="29"/>
      <c r="D29" s="29"/>
      <c r="E29" s="29"/>
      <c r="F29" s="35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33" s="27" customFormat="1" ht="15.75" customHeight="1">
      <c r="A30" s="28"/>
      <c r="B30" s="29"/>
      <c r="C30" s="29"/>
      <c r="D30" s="29"/>
      <c r="E30" s="29"/>
      <c r="F30" s="35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33" s="27" customFormat="1" ht="15.75" customHeight="1">
      <c r="A31" s="28"/>
      <c r="B31" s="29"/>
      <c r="C31" s="29"/>
      <c r="D31" s="29"/>
      <c r="E31" s="29"/>
      <c r="F31" s="35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33" ht="15.75" customHeight="1">
      <c r="A32" s="28"/>
      <c r="B32" s="29"/>
      <c r="C32" s="29"/>
      <c r="D32" s="29"/>
      <c r="E32" s="29"/>
      <c r="F32" s="35"/>
    </row>
    <row r="33" spans="1:6" ht="15.75" customHeight="1">
      <c r="A33" s="28"/>
      <c r="B33" s="29"/>
      <c r="C33" s="29"/>
      <c r="D33" s="29"/>
      <c r="E33" s="29"/>
      <c r="F33" s="35"/>
    </row>
    <row r="34" spans="1:6" ht="15.75" customHeight="1">
      <c r="A34" s="28"/>
      <c r="B34" s="29"/>
      <c r="C34" s="29"/>
      <c r="D34" s="29"/>
      <c r="E34" s="29"/>
      <c r="F34" s="35"/>
    </row>
    <row r="35" spans="1:6" ht="15.75" customHeight="1">
      <c r="A35" s="28"/>
      <c r="B35" s="29"/>
      <c r="C35" s="29"/>
      <c r="D35" s="29"/>
      <c r="E35" s="29"/>
    </row>
    <row r="36" spans="1:6" ht="15.75" customHeight="1">
      <c r="A36" s="28"/>
      <c r="B36" s="29"/>
      <c r="C36" s="29"/>
      <c r="D36" s="29"/>
      <c r="E36" s="29"/>
    </row>
    <row r="37" spans="1:6" ht="15.75" customHeight="1">
      <c r="A37" s="28"/>
      <c r="B37" s="29"/>
      <c r="C37" s="29"/>
      <c r="D37" s="29"/>
      <c r="E37" s="29"/>
    </row>
    <row r="38" spans="1:6" ht="13.9" customHeight="1">
      <c r="A38" s="27"/>
      <c r="B38" s="27"/>
      <c r="C38" s="27"/>
      <c r="D38" s="27"/>
      <c r="E38" s="27"/>
    </row>
  </sheetData>
  <mergeCells count="36">
    <mergeCell ref="AC1:AG1"/>
    <mergeCell ref="AF5:AG5"/>
    <mergeCell ref="N5:O5"/>
    <mergeCell ref="P5:Q5"/>
    <mergeCell ref="V5:W5"/>
    <mergeCell ref="V6:W6"/>
    <mergeCell ref="X6:Y6"/>
    <mergeCell ref="R5:S5"/>
    <mergeCell ref="T5:U5"/>
    <mergeCell ref="A5:A7"/>
    <mergeCell ref="B5:B7"/>
    <mergeCell ref="C5:C7"/>
    <mergeCell ref="D5:E5"/>
    <mergeCell ref="D6:E6"/>
    <mergeCell ref="F5:G5"/>
    <mergeCell ref="H5:I5"/>
    <mergeCell ref="J5:K5"/>
    <mergeCell ref="L5:M5"/>
    <mergeCell ref="L6:M6"/>
    <mergeCell ref="N6:O6"/>
    <mergeCell ref="D1:E1"/>
    <mergeCell ref="AB5:AC5"/>
    <mergeCell ref="AD5:AE5"/>
    <mergeCell ref="P6:Q6"/>
    <mergeCell ref="R6:S6"/>
    <mergeCell ref="T6:U6"/>
    <mergeCell ref="A3:AG3"/>
    <mergeCell ref="AB6:AC6"/>
    <mergeCell ref="AD6:AE6"/>
    <mergeCell ref="AF6:AG6"/>
    <mergeCell ref="F6:G6"/>
    <mergeCell ref="H6:I6"/>
    <mergeCell ref="J6:K6"/>
    <mergeCell ref="Z6:AA6"/>
    <mergeCell ref="X5:Y5"/>
    <mergeCell ref="Z5:AA5"/>
  </mergeCells>
  <phoneticPr fontId="34" type="noConversion"/>
  <printOptions horizontalCentered="1"/>
  <pageMargins left="0" right="0" top="0.43307086614173229" bottom="0" header="0" footer="0"/>
  <pageSetup paperSize="9" orientation="landscape" r:id="rId1"/>
  <headerFooter alignWithMargins="0"/>
  <ignoredErrors>
    <ignoredError sqref="B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B440-D864-4110-9768-2B37BC894949}">
  <sheetPr>
    <pageSetUpPr fitToPage="1"/>
  </sheetPr>
  <dimension ref="B1:P17"/>
  <sheetViews>
    <sheetView zoomScale="60" zoomScaleNormal="60" workbookViewId="0">
      <selection activeCell="E5" sqref="E5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4" width="22.28515625" style="8" customWidth="1"/>
    <col min="5" max="6" width="21.5703125" style="8" customWidth="1"/>
    <col min="7" max="8" width="23.7109375" style="8" customWidth="1"/>
    <col min="9" max="10" width="23.85546875" style="8" customWidth="1"/>
    <col min="11" max="11" width="28" style="8" customWidth="1"/>
    <col min="12" max="12" width="22.140625" style="8" customWidth="1"/>
    <col min="13" max="16" width="22.7109375" style="8" customWidth="1"/>
    <col min="17" max="16384" width="9.140625" style="8"/>
  </cols>
  <sheetData>
    <row r="1" spans="2:16" ht="15.75" customHeight="1">
      <c r="P1" s="62" t="s">
        <v>0</v>
      </c>
    </row>
    <row r="3" spans="2:16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2:16" ht="24.75" customHeight="1">
      <c r="B4" s="70" t="s">
        <v>23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16" ht="63">
      <c r="B5" s="71" t="s">
        <v>3</v>
      </c>
      <c r="C5" s="71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24</v>
      </c>
      <c r="N5" s="5" t="s">
        <v>22</v>
      </c>
      <c r="O5" s="5" t="s">
        <v>25</v>
      </c>
      <c r="P5" s="5" t="s">
        <v>26</v>
      </c>
    </row>
    <row r="6" spans="2:16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</row>
    <row r="7" spans="2:16">
      <c r="B7" s="6" t="s">
        <v>15</v>
      </c>
      <c r="C7" s="7">
        <f>SUM(C8:C11)</f>
        <v>5165361</v>
      </c>
      <c r="D7" s="7">
        <f t="shared" ref="D7:P7" si="0">SUM(D8:D11)</f>
        <v>3503545</v>
      </c>
      <c r="E7" s="61">
        <f t="shared" si="0"/>
        <v>277415</v>
      </c>
      <c r="F7" s="7">
        <f t="shared" si="0"/>
        <v>16543</v>
      </c>
      <c r="G7" s="7">
        <f t="shared" si="0"/>
        <v>20306</v>
      </c>
      <c r="H7" s="7">
        <f t="shared" si="0"/>
        <v>29294</v>
      </c>
      <c r="I7" s="7">
        <f t="shared" si="0"/>
        <v>84002</v>
      </c>
      <c r="J7" s="7">
        <f t="shared" si="0"/>
        <v>20579</v>
      </c>
      <c r="K7" s="7">
        <f t="shared" si="0"/>
        <v>19410</v>
      </c>
      <c r="L7" s="7">
        <f t="shared" si="0"/>
        <v>31841</v>
      </c>
      <c r="M7" s="7">
        <f t="shared" si="0"/>
        <v>7527</v>
      </c>
      <c r="N7" s="7">
        <f t="shared" si="0"/>
        <v>1071205</v>
      </c>
      <c r="O7" s="7">
        <f t="shared" si="0"/>
        <v>44812</v>
      </c>
      <c r="P7" s="7">
        <f t="shared" si="0"/>
        <v>38882</v>
      </c>
    </row>
    <row r="8" spans="2:16">
      <c r="B8" s="3" t="s">
        <v>16</v>
      </c>
      <c r="C8" s="7">
        <f>SUM(D8:P8)</f>
        <v>470913</v>
      </c>
      <c r="D8" s="1">
        <v>470913</v>
      </c>
      <c r="E8" s="55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</row>
    <row r="9" spans="2:16">
      <c r="B9" s="3" t="s">
        <v>18</v>
      </c>
      <c r="C9" s="7">
        <f>SUM(D9:P9)</f>
        <v>1321084</v>
      </c>
      <c r="D9" s="1">
        <v>249879</v>
      </c>
      <c r="E9" s="55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>
        <v>1071205</v>
      </c>
      <c r="O9" s="1" t="s">
        <v>17</v>
      </c>
      <c r="P9" s="1" t="s">
        <v>17</v>
      </c>
    </row>
    <row r="10" spans="2:16">
      <c r="B10" s="3" t="s">
        <v>19</v>
      </c>
      <c r="C10" s="7">
        <f>SUM(D10:P10)</f>
        <v>3265819</v>
      </c>
      <c r="D10" s="1">
        <v>2683312</v>
      </c>
      <c r="E10" s="55">
        <v>276891</v>
      </c>
      <c r="F10" s="1">
        <v>16543</v>
      </c>
      <c r="G10" s="1">
        <v>20306</v>
      </c>
      <c r="H10" s="1">
        <v>29294</v>
      </c>
      <c r="I10" s="1">
        <v>84002</v>
      </c>
      <c r="J10" s="1">
        <v>20579</v>
      </c>
      <c r="K10" s="1">
        <v>19410</v>
      </c>
      <c r="L10" s="1">
        <v>24261</v>
      </c>
      <c r="M10" s="1">
        <v>7527</v>
      </c>
      <c r="N10" s="1" t="s">
        <v>17</v>
      </c>
      <c r="O10" s="1">
        <v>44812</v>
      </c>
      <c r="P10" s="1">
        <v>38882</v>
      </c>
    </row>
    <row r="11" spans="2:16">
      <c r="B11" s="3" t="s">
        <v>20</v>
      </c>
      <c r="C11" s="7">
        <f>SUM(D11:P11)</f>
        <v>107545</v>
      </c>
      <c r="D11" s="1">
        <v>99441</v>
      </c>
      <c r="E11" s="55">
        <v>524</v>
      </c>
      <c r="F11" s="1" t="s">
        <v>17</v>
      </c>
      <c r="G11" s="1" t="s">
        <v>17</v>
      </c>
      <c r="H11" s="1" t="s">
        <v>17</v>
      </c>
      <c r="I11" s="1" t="s">
        <v>17</v>
      </c>
      <c r="J11" s="1" t="s">
        <v>17</v>
      </c>
      <c r="K11" s="1" t="s">
        <v>17</v>
      </c>
      <c r="L11" s="1">
        <v>7580</v>
      </c>
      <c r="M11" s="1" t="s">
        <v>17</v>
      </c>
      <c r="N11" s="1" t="s">
        <v>17</v>
      </c>
      <c r="O11" s="1" t="s">
        <v>17</v>
      </c>
      <c r="P11" s="1" t="s">
        <v>17</v>
      </c>
    </row>
    <row r="13" spans="2:16">
      <c r="C13" s="52"/>
      <c r="E13" s="52"/>
    </row>
    <row r="14" spans="2:16">
      <c r="C14" s="53"/>
    </row>
    <row r="15" spans="2:16">
      <c r="E15" s="31"/>
    </row>
    <row r="16" spans="2:16">
      <c r="C16" s="47"/>
      <c r="P16" s="31"/>
    </row>
    <row r="17" spans="3:3">
      <c r="C17" s="54"/>
    </row>
  </sheetData>
  <mergeCells count="4">
    <mergeCell ref="B3:P3"/>
    <mergeCell ref="B4:P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7676B-7267-4C69-9D8B-E309EDC39655}">
  <sheetPr>
    <pageSetUpPr fitToPage="1"/>
  </sheetPr>
  <dimension ref="B1:P17"/>
  <sheetViews>
    <sheetView zoomScale="60" zoomScaleNormal="60" workbookViewId="0">
      <selection activeCell="E5" sqref="E5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4" width="22.28515625" style="8" customWidth="1"/>
    <col min="5" max="6" width="21.5703125" style="8" customWidth="1"/>
    <col min="7" max="7" width="23.7109375" style="8" customWidth="1"/>
    <col min="8" max="8" width="24.28515625" style="8" customWidth="1"/>
    <col min="9" max="10" width="23.85546875" style="8" customWidth="1"/>
    <col min="11" max="11" width="28" style="8" customWidth="1"/>
    <col min="12" max="12" width="22.140625" style="8" customWidth="1"/>
    <col min="13" max="16" width="22.7109375" style="8" customWidth="1"/>
    <col min="17" max="16384" width="9.140625" style="8"/>
  </cols>
  <sheetData>
    <row r="1" spans="2:16" ht="15.75" customHeight="1">
      <c r="P1" s="62" t="s">
        <v>0</v>
      </c>
    </row>
    <row r="3" spans="2:16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2:16" ht="24.75" customHeight="1">
      <c r="B4" s="70" t="s">
        <v>27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16" ht="63">
      <c r="B5" s="71" t="s">
        <v>3</v>
      </c>
      <c r="C5" s="71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24</v>
      </c>
      <c r="N5" s="5" t="s">
        <v>22</v>
      </c>
      <c r="O5" s="5" t="s">
        <v>25</v>
      </c>
      <c r="P5" s="5" t="s">
        <v>26</v>
      </c>
    </row>
    <row r="6" spans="2:16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</row>
    <row r="7" spans="2:16">
      <c r="B7" s="6" t="s">
        <v>15</v>
      </c>
      <c r="C7" s="7">
        <f>SUM(C8:C11)</f>
        <v>5116966.84</v>
      </c>
      <c r="D7" s="7">
        <f t="shared" ref="D7:P7" si="0">SUM(D8:D11)</f>
        <v>3719261</v>
      </c>
      <c r="E7" s="7">
        <f t="shared" si="0"/>
        <v>233120</v>
      </c>
      <c r="F7" s="7">
        <f t="shared" si="0"/>
        <v>13568</v>
      </c>
      <c r="G7" s="7">
        <f t="shared" si="0"/>
        <v>13831</v>
      </c>
      <c r="H7" s="7">
        <f t="shared" si="0"/>
        <v>23427</v>
      </c>
      <c r="I7" s="7">
        <f t="shared" si="0"/>
        <v>68397</v>
      </c>
      <c r="J7" s="7">
        <f t="shared" si="0"/>
        <v>54806</v>
      </c>
      <c r="K7" s="7">
        <f t="shared" si="0"/>
        <v>15956.84</v>
      </c>
      <c r="L7" s="7">
        <f t="shared" si="0"/>
        <v>28065</v>
      </c>
      <c r="M7" s="7">
        <f t="shared" si="0"/>
        <v>5763</v>
      </c>
      <c r="N7" s="7">
        <f t="shared" si="0"/>
        <v>874540</v>
      </c>
      <c r="O7" s="7">
        <f t="shared" si="0"/>
        <v>37732</v>
      </c>
      <c r="P7" s="7">
        <f t="shared" si="0"/>
        <v>28500</v>
      </c>
    </row>
    <row r="8" spans="2:16">
      <c r="B8" s="3" t="s">
        <v>16</v>
      </c>
      <c r="C8" s="7">
        <f>SUM(D8:P8)</f>
        <v>388686</v>
      </c>
      <c r="D8" s="1">
        <v>388686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</row>
    <row r="9" spans="2:16">
      <c r="B9" s="3" t="s">
        <v>18</v>
      </c>
      <c r="C9" s="7">
        <f>SUM(D9:P9)</f>
        <v>1700033</v>
      </c>
      <c r="D9" s="1">
        <v>825493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>
        <v>874540</v>
      </c>
      <c r="O9" s="1" t="s">
        <v>17</v>
      </c>
      <c r="P9" s="1" t="s">
        <v>17</v>
      </c>
    </row>
    <row r="10" spans="2:16">
      <c r="B10" s="3" t="s">
        <v>19</v>
      </c>
      <c r="C10" s="7">
        <f>SUM(D10:P10)</f>
        <v>2884571.84</v>
      </c>
      <c r="D10" s="1">
        <v>2378785</v>
      </c>
      <c r="E10" s="1">
        <v>222455</v>
      </c>
      <c r="F10" s="1">
        <v>13568</v>
      </c>
      <c r="G10" s="1">
        <v>13831</v>
      </c>
      <c r="H10" s="1">
        <v>23427</v>
      </c>
      <c r="I10" s="1">
        <v>68397</v>
      </c>
      <c r="J10" s="1">
        <v>54806</v>
      </c>
      <c r="K10" s="1">
        <v>15956.84</v>
      </c>
      <c r="L10" s="1">
        <v>21351</v>
      </c>
      <c r="M10" s="1">
        <v>5763</v>
      </c>
      <c r="N10" s="1" t="s">
        <v>17</v>
      </c>
      <c r="O10" s="1">
        <v>37732</v>
      </c>
      <c r="P10" s="1">
        <v>28500</v>
      </c>
    </row>
    <row r="11" spans="2:16">
      <c r="B11" s="3" t="s">
        <v>20</v>
      </c>
      <c r="C11" s="7">
        <f>SUM(D11:P11)</f>
        <v>143676</v>
      </c>
      <c r="D11" s="1">
        <v>126297</v>
      </c>
      <c r="E11" s="1">
        <v>10665</v>
      </c>
      <c r="F11" s="1" t="s">
        <v>17</v>
      </c>
      <c r="G11" s="1" t="s">
        <v>17</v>
      </c>
      <c r="H11" s="1" t="s">
        <v>17</v>
      </c>
      <c r="I11" s="1" t="s">
        <v>17</v>
      </c>
      <c r="J11" s="1" t="s">
        <v>17</v>
      </c>
      <c r="K11" s="1" t="s">
        <v>17</v>
      </c>
      <c r="L11" s="1">
        <v>6714</v>
      </c>
      <c r="M11" s="1" t="s">
        <v>17</v>
      </c>
      <c r="N11" s="1" t="s">
        <v>17</v>
      </c>
      <c r="O11" s="1" t="s">
        <v>17</v>
      </c>
      <c r="P11" s="1" t="s">
        <v>17</v>
      </c>
    </row>
    <row r="13" spans="2:16">
      <c r="C13" s="52"/>
    </row>
    <row r="14" spans="2:16">
      <c r="C14" s="53"/>
    </row>
    <row r="15" spans="2:16">
      <c r="E15" s="31"/>
    </row>
    <row r="16" spans="2:16">
      <c r="C16" s="47"/>
      <c r="P16" s="31"/>
    </row>
    <row r="17" spans="3:3">
      <c r="C17" s="54"/>
    </row>
  </sheetData>
  <mergeCells count="4">
    <mergeCell ref="B3:P3"/>
    <mergeCell ref="B4:P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9343E-E161-4BFE-B054-AB73530ECADB}">
  <sheetPr>
    <pageSetUpPr fitToPage="1"/>
  </sheetPr>
  <dimension ref="B1:V18"/>
  <sheetViews>
    <sheetView zoomScale="60" zoomScaleNormal="60" workbookViewId="0">
      <selection activeCell="E5" sqref="E5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4" width="22.28515625" style="8" customWidth="1"/>
    <col min="5" max="6" width="21.5703125" style="8" customWidth="1"/>
    <col min="7" max="7" width="23.7109375" style="8" customWidth="1"/>
    <col min="8" max="8" width="24.28515625" style="8" customWidth="1"/>
    <col min="9" max="10" width="23.85546875" style="8" customWidth="1"/>
    <col min="11" max="11" width="28" style="8" customWidth="1"/>
    <col min="12" max="12" width="22.140625" style="8" customWidth="1"/>
    <col min="13" max="22" width="22.7109375" style="8" customWidth="1"/>
    <col min="23" max="16384" width="9.140625" style="8"/>
  </cols>
  <sheetData>
    <row r="1" spans="2:22" ht="15.75" customHeight="1">
      <c r="Q1" s="72" t="s">
        <v>0</v>
      </c>
      <c r="R1" s="72"/>
      <c r="S1" s="72"/>
      <c r="T1" s="72"/>
      <c r="U1" s="72"/>
      <c r="V1" s="72"/>
    </row>
    <row r="3" spans="2:22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2:22" ht="24.75" customHeight="1">
      <c r="B4" s="70" t="s">
        <v>28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2:22" ht="78.75">
      <c r="B5" s="71" t="s">
        <v>3</v>
      </c>
      <c r="C5" s="71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24</v>
      </c>
      <c r="N5" s="5" t="s">
        <v>29</v>
      </c>
      <c r="O5" s="5" t="s">
        <v>22</v>
      </c>
      <c r="P5" s="5" t="s">
        <v>25</v>
      </c>
      <c r="Q5" s="5" t="s">
        <v>30</v>
      </c>
      <c r="R5" s="5" t="s">
        <v>26</v>
      </c>
      <c r="S5" s="5" t="s">
        <v>31</v>
      </c>
      <c r="T5" s="5" t="s">
        <v>32</v>
      </c>
      <c r="U5" s="5" t="s">
        <v>33</v>
      </c>
      <c r="V5" s="5" t="s">
        <v>34</v>
      </c>
    </row>
    <row r="6" spans="2:22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  <c r="V6" s="5" t="s">
        <v>14</v>
      </c>
    </row>
    <row r="7" spans="2:22">
      <c r="B7" s="6" t="s">
        <v>15</v>
      </c>
      <c r="C7" s="7">
        <f>SUM(C8:C11)</f>
        <v>10525780</v>
      </c>
      <c r="D7" s="7">
        <f t="shared" ref="D7:V7" si="0">SUM(D8:D11)</f>
        <v>8921832</v>
      </c>
      <c r="E7" s="7">
        <f t="shared" si="0"/>
        <v>305724</v>
      </c>
      <c r="F7" s="7">
        <f t="shared" si="0"/>
        <v>11801</v>
      </c>
      <c r="G7" s="7">
        <f t="shared" si="0"/>
        <v>11696</v>
      </c>
      <c r="H7" s="7">
        <f t="shared" si="0"/>
        <v>18476</v>
      </c>
      <c r="I7" s="7">
        <f t="shared" si="0"/>
        <v>80363</v>
      </c>
      <c r="J7" s="7">
        <f t="shared" si="0"/>
        <v>48415</v>
      </c>
      <c r="K7" s="7">
        <f t="shared" si="0"/>
        <v>15589</v>
      </c>
      <c r="L7" s="7">
        <f t="shared" si="0"/>
        <v>28426</v>
      </c>
      <c r="M7" s="7">
        <f t="shared" si="0"/>
        <v>16616</v>
      </c>
      <c r="N7" s="7">
        <f t="shared" si="0"/>
        <v>6964</v>
      </c>
      <c r="O7" s="7">
        <f t="shared" si="0"/>
        <v>863206</v>
      </c>
      <c r="P7" s="7">
        <f t="shared" si="0"/>
        <v>41425</v>
      </c>
      <c r="Q7" s="7">
        <f t="shared" si="0"/>
        <v>30359</v>
      </c>
      <c r="R7" s="7">
        <f t="shared" si="0"/>
        <v>27659</v>
      </c>
      <c r="S7" s="7">
        <f t="shared" si="0"/>
        <v>68034</v>
      </c>
      <c r="T7" s="7">
        <f t="shared" si="0"/>
        <v>9780</v>
      </c>
      <c r="U7" s="7">
        <f t="shared" si="0"/>
        <v>11575</v>
      </c>
      <c r="V7" s="7">
        <f t="shared" si="0"/>
        <v>7840</v>
      </c>
    </row>
    <row r="8" spans="2:22">
      <c r="B8" s="3" t="s">
        <v>16</v>
      </c>
      <c r="C8" s="7">
        <f>SUM(D8:V8)</f>
        <v>1412099</v>
      </c>
      <c r="D8" s="1">
        <v>1412099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  <c r="Q8" s="1" t="s">
        <v>17</v>
      </c>
      <c r="R8" s="1" t="s">
        <v>17</v>
      </c>
      <c r="S8" s="1" t="s">
        <v>17</v>
      </c>
      <c r="T8" s="1" t="s">
        <v>17</v>
      </c>
      <c r="U8" s="1" t="s">
        <v>17</v>
      </c>
      <c r="V8" s="1" t="s">
        <v>17</v>
      </c>
    </row>
    <row r="9" spans="2:22">
      <c r="B9" s="3" t="s">
        <v>18</v>
      </c>
      <c r="C9" s="7">
        <f>SUM(D9:V9)</f>
        <v>4150610</v>
      </c>
      <c r="D9" s="1">
        <v>3287404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>
        <v>863206</v>
      </c>
      <c r="P9" s="1" t="s">
        <v>17</v>
      </c>
      <c r="Q9" s="1" t="s">
        <v>17</v>
      </c>
      <c r="R9" s="1" t="s">
        <v>17</v>
      </c>
      <c r="S9" s="1" t="s">
        <v>17</v>
      </c>
      <c r="T9" s="1" t="s">
        <v>17</v>
      </c>
      <c r="U9" s="1" t="s">
        <v>17</v>
      </c>
      <c r="V9" s="1" t="s">
        <v>17</v>
      </c>
    </row>
    <row r="10" spans="2:22">
      <c r="B10" s="3" t="s">
        <v>19</v>
      </c>
      <c r="C10" s="7">
        <f>SUM(D10:V10)</f>
        <v>4783462</v>
      </c>
      <c r="D10" s="1">
        <v>4092645</v>
      </c>
      <c r="E10" s="1">
        <v>277643</v>
      </c>
      <c r="F10" s="1">
        <v>11801</v>
      </c>
      <c r="G10" s="1">
        <v>11696</v>
      </c>
      <c r="H10" s="1">
        <v>18476</v>
      </c>
      <c r="I10" s="1">
        <v>80363</v>
      </c>
      <c r="J10" s="1">
        <v>48415</v>
      </c>
      <c r="K10" s="1">
        <v>15589</v>
      </c>
      <c r="L10" s="1">
        <v>21238</v>
      </c>
      <c r="M10" s="1">
        <v>16616</v>
      </c>
      <c r="N10" s="1">
        <v>6964</v>
      </c>
      <c r="O10" s="1" t="s">
        <v>17</v>
      </c>
      <c r="P10" s="1">
        <v>36549</v>
      </c>
      <c r="Q10" s="1">
        <v>30359</v>
      </c>
      <c r="R10" s="1">
        <v>27659</v>
      </c>
      <c r="S10" s="1">
        <v>68034</v>
      </c>
      <c r="T10" s="1" t="s">
        <v>17</v>
      </c>
      <c r="U10" s="1">
        <v>11575</v>
      </c>
      <c r="V10" s="1">
        <v>7840</v>
      </c>
    </row>
    <row r="11" spans="2:22">
      <c r="B11" s="3" t="s">
        <v>20</v>
      </c>
      <c r="C11" s="7">
        <f>SUM(D11:V11)</f>
        <v>179609</v>
      </c>
      <c r="D11" s="1">
        <v>129684</v>
      </c>
      <c r="E11" s="1">
        <v>28081</v>
      </c>
      <c r="F11" s="1" t="s">
        <v>17</v>
      </c>
      <c r="G11" s="1" t="s">
        <v>17</v>
      </c>
      <c r="H11" s="1" t="s">
        <v>17</v>
      </c>
      <c r="I11" s="1" t="s">
        <v>17</v>
      </c>
      <c r="J11" s="1" t="s">
        <v>17</v>
      </c>
      <c r="K11" s="1" t="s">
        <v>17</v>
      </c>
      <c r="L11" s="1">
        <v>7188</v>
      </c>
      <c r="M11" s="1" t="s">
        <v>17</v>
      </c>
      <c r="N11" s="1" t="s">
        <v>17</v>
      </c>
      <c r="O11" s="1" t="s">
        <v>17</v>
      </c>
      <c r="P11" s="1">
        <v>4876</v>
      </c>
      <c r="Q11" s="1" t="s">
        <v>17</v>
      </c>
      <c r="R11" s="1" t="s">
        <v>17</v>
      </c>
      <c r="S11" s="1" t="s">
        <v>17</v>
      </c>
      <c r="T11" s="1">
        <v>9780</v>
      </c>
      <c r="U11" s="1" t="s">
        <v>17</v>
      </c>
      <c r="V11" s="1" t="s">
        <v>17</v>
      </c>
    </row>
    <row r="14" spans="2:22">
      <c r="C14" s="31"/>
    </row>
    <row r="15" spans="2:22">
      <c r="C15" s="31"/>
      <c r="D15" s="47"/>
      <c r="J15" s="31"/>
    </row>
    <row r="16" spans="2:22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2:10">
      <c r="B17" s="31"/>
    </row>
    <row r="18" spans="2:10">
      <c r="D18" s="31"/>
      <c r="E18" s="31"/>
      <c r="F18" s="31"/>
      <c r="J18" s="31"/>
    </row>
  </sheetData>
  <mergeCells count="5">
    <mergeCell ref="Q1:V1"/>
    <mergeCell ref="B3:V3"/>
    <mergeCell ref="B4:V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D9AC-28AB-464B-ACA5-A06BE38DCE95}">
  <sheetPr>
    <pageSetUpPr fitToPage="1"/>
  </sheetPr>
  <dimension ref="B1:V18"/>
  <sheetViews>
    <sheetView zoomScale="60" zoomScaleNormal="60" workbookViewId="0">
      <selection activeCell="D27" sqref="D27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4" width="22.28515625" style="8" customWidth="1"/>
    <col min="5" max="6" width="21.5703125" style="8" customWidth="1"/>
    <col min="7" max="7" width="23.7109375" style="8" customWidth="1"/>
    <col min="8" max="8" width="24.28515625" style="8" customWidth="1"/>
    <col min="9" max="10" width="23.85546875" style="8" customWidth="1"/>
    <col min="11" max="11" width="28" style="8" customWidth="1"/>
    <col min="12" max="12" width="22.140625" style="8" customWidth="1"/>
    <col min="13" max="22" width="22.7109375" style="8" customWidth="1"/>
    <col min="23" max="16384" width="9.140625" style="8"/>
  </cols>
  <sheetData>
    <row r="1" spans="2:22" ht="15.75" customHeight="1">
      <c r="Q1" s="72" t="s">
        <v>0</v>
      </c>
      <c r="R1" s="72"/>
      <c r="S1" s="72"/>
      <c r="T1" s="72"/>
      <c r="U1" s="72"/>
      <c r="V1" s="72"/>
    </row>
    <row r="3" spans="2:22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2:22" ht="24.75" customHeight="1">
      <c r="B4" s="70" t="s">
        <v>35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2:22" ht="78.75">
      <c r="B5" s="71" t="s">
        <v>3</v>
      </c>
      <c r="C5" s="71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24</v>
      </c>
      <c r="N5" s="5" t="s">
        <v>29</v>
      </c>
      <c r="O5" s="5" t="s">
        <v>22</v>
      </c>
      <c r="P5" s="5" t="s">
        <v>25</v>
      </c>
      <c r="Q5" s="5" t="s">
        <v>30</v>
      </c>
      <c r="R5" s="5" t="s">
        <v>26</v>
      </c>
      <c r="S5" s="5" t="s">
        <v>31</v>
      </c>
      <c r="T5" s="5" t="s">
        <v>32</v>
      </c>
      <c r="U5" s="5" t="s">
        <v>33</v>
      </c>
      <c r="V5" s="5" t="s">
        <v>34</v>
      </c>
    </row>
    <row r="6" spans="2:22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  <c r="V6" s="5" t="s">
        <v>14</v>
      </c>
    </row>
    <row r="7" spans="2:22">
      <c r="B7" s="6" t="s">
        <v>15</v>
      </c>
      <c r="C7" s="7">
        <f>SUM(C8:C11)</f>
        <v>10813882</v>
      </c>
      <c r="D7" s="7">
        <f t="shared" ref="D7:V7" si="0">SUM(D8:D11)</f>
        <v>9166196</v>
      </c>
      <c r="E7" s="7">
        <f t="shared" si="0"/>
        <v>264781</v>
      </c>
      <c r="F7" s="7">
        <f t="shared" si="0"/>
        <v>12109</v>
      </c>
      <c r="G7" s="7">
        <f t="shared" si="0"/>
        <v>10829</v>
      </c>
      <c r="H7" s="7">
        <f t="shared" si="0"/>
        <v>19271</v>
      </c>
      <c r="I7" s="7">
        <f t="shared" si="0"/>
        <v>76915</v>
      </c>
      <c r="J7" s="7">
        <f t="shared" si="0"/>
        <v>46925</v>
      </c>
      <c r="K7" s="7">
        <f t="shared" si="0"/>
        <v>17665</v>
      </c>
      <c r="L7" s="7">
        <f t="shared" si="0"/>
        <v>30020</v>
      </c>
      <c r="M7" s="7">
        <f t="shared" si="0"/>
        <v>16378</v>
      </c>
      <c r="N7" s="7">
        <f t="shared" si="0"/>
        <v>6668</v>
      </c>
      <c r="O7" s="7">
        <f t="shared" si="0"/>
        <v>1017313</v>
      </c>
      <c r="P7" s="7">
        <f t="shared" si="0"/>
        <v>37026</v>
      </c>
      <c r="Q7" s="7">
        <f t="shared" si="0"/>
        <v>29128</v>
      </c>
      <c r="R7" s="7">
        <f t="shared" si="0"/>
        <v>23885</v>
      </c>
      <c r="S7" s="7">
        <f t="shared" si="0"/>
        <v>11167</v>
      </c>
      <c r="T7" s="7">
        <f t="shared" si="0"/>
        <v>9696</v>
      </c>
      <c r="U7" s="7">
        <f t="shared" si="0"/>
        <v>10070</v>
      </c>
      <c r="V7" s="7">
        <f t="shared" si="0"/>
        <v>7840</v>
      </c>
    </row>
    <row r="8" spans="2:22">
      <c r="B8" s="3" t="s">
        <v>16</v>
      </c>
      <c r="C8" s="7">
        <f>SUM(D8:V8)</f>
        <v>1093067</v>
      </c>
      <c r="D8" s="1">
        <v>1093067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  <c r="Q8" s="1" t="s">
        <v>17</v>
      </c>
      <c r="R8" s="1" t="s">
        <v>17</v>
      </c>
      <c r="S8" s="1" t="s">
        <v>17</v>
      </c>
      <c r="T8" s="1" t="s">
        <v>17</v>
      </c>
      <c r="U8" s="1" t="s">
        <v>17</v>
      </c>
      <c r="V8" s="1" t="s">
        <v>17</v>
      </c>
    </row>
    <row r="9" spans="2:22">
      <c r="B9" s="3" t="s">
        <v>18</v>
      </c>
      <c r="C9" s="7">
        <f>SUM(D9:V9)</f>
        <v>4402564</v>
      </c>
      <c r="D9" s="1">
        <v>3385251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>
        <v>1017313</v>
      </c>
      <c r="P9" s="1" t="s">
        <v>17</v>
      </c>
      <c r="Q9" s="1" t="s">
        <v>17</v>
      </c>
      <c r="R9" s="1" t="s">
        <v>17</v>
      </c>
      <c r="S9" s="1" t="s">
        <v>17</v>
      </c>
      <c r="T9" s="1" t="s">
        <v>17</v>
      </c>
      <c r="U9" s="1" t="s">
        <v>17</v>
      </c>
      <c r="V9" s="1" t="s">
        <v>17</v>
      </c>
    </row>
    <row r="10" spans="2:22">
      <c r="B10" s="3" t="s">
        <v>19</v>
      </c>
      <c r="C10" s="7">
        <f>SUM(D10:V10)</f>
        <v>5163033</v>
      </c>
      <c r="D10" s="1">
        <v>4562788</v>
      </c>
      <c r="E10" s="1">
        <v>257405</v>
      </c>
      <c r="F10" s="1">
        <v>12109</v>
      </c>
      <c r="G10" s="1">
        <v>10829</v>
      </c>
      <c r="H10" s="1">
        <v>19271</v>
      </c>
      <c r="I10" s="1">
        <v>76915</v>
      </c>
      <c r="J10" s="1">
        <v>46925</v>
      </c>
      <c r="K10" s="1">
        <v>17665</v>
      </c>
      <c r="L10" s="1">
        <v>21974</v>
      </c>
      <c r="M10" s="1">
        <v>16378</v>
      </c>
      <c r="N10" s="1">
        <v>6668</v>
      </c>
      <c r="O10" s="1" t="s">
        <v>17</v>
      </c>
      <c r="P10" s="1">
        <v>32016</v>
      </c>
      <c r="Q10" s="1">
        <v>29128</v>
      </c>
      <c r="R10" s="1">
        <v>23885</v>
      </c>
      <c r="S10" s="1">
        <v>11167</v>
      </c>
      <c r="T10" s="1" t="s">
        <v>17</v>
      </c>
      <c r="U10" s="1">
        <v>10070</v>
      </c>
      <c r="V10" s="1">
        <v>7840</v>
      </c>
    </row>
    <row r="11" spans="2:22">
      <c r="B11" s="3" t="s">
        <v>20</v>
      </c>
      <c r="C11" s="7">
        <f>SUM(D11:V11)</f>
        <v>155218</v>
      </c>
      <c r="D11" s="1">
        <v>125090</v>
      </c>
      <c r="E11" s="1">
        <v>7376</v>
      </c>
      <c r="F11" s="1" t="s">
        <v>17</v>
      </c>
      <c r="G11" s="1" t="s">
        <v>17</v>
      </c>
      <c r="H11" s="1" t="s">
        <v>17</v>
      </c>
      <c r="I11" s="1" t="s">
        <v>17</v>
      </c>
      <c r="J11" s="1" t="s">
        <v>17</v>
      </c>
      <c r="K11" s="1" t="s">
        <v>17</v>
      </c>
      <c r="L11" s="1">
        <v>8046</v>
      </c>
      <c r="M11" s="1" t="s">
        <v>17</v>
      </c>
      <c r="N11" s="1" t="s">
        <v>17</v>
      </c>
      <c r="O11" s="1" t="s">
        <v>17</v>
      </c>
      <c r="P11" s="1">
        <v>5010</v>
      </c>
      <c r="Q11" s="1" t="s">
        <v>17</v>
      </c>
      <c r="R11" s="1" t="s">
        <v>17</v>
      </c>
      <c r="S11" s="1" t="s">
        <v>17</v>
      </c>
      <c r="T11" s="1">
        <v>9696</v>
      </c>
      <c r="U11" s="1" t="s">
        <v>17</v>
      </c>
      <c r="V11" s="1" t="s">
        <v>17</v>
      </c>
    </row>
    <row r="14" spans="2:22">
      <c r="C14" s="31"/>
    </row>
    <row r="15" spans="2:22">
      <c r="C15" s="31"/>
      <c r="D15" s="47"/>
      <c r="J15" s="31"/>
    </row>
    <row r="16" spans="2:22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2:10">
      <c r="B17" s="31"/>
    </row>
    <row r="18" spans="2:10">
      <c r="D18" s="31"/>
      <c r="E18" s="31"/>
      <c r="F18" s="31"/>
      <c r="J18" s="31"/>
    </row>
  </sheetData>
  <mergeCells count="5">
    <mergeCell ref="Q1:V1"/>
    <mergeCell ref="B3:V3"/>
    <mergeCell ref="B4:V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FC87-A1DD-4996-996E-4E4B698F03F8}">
  <sheetPr>
    <pageSetUpPr fitToPage="1"/>
  </sheetPr>
  <dimension ref="B1:V18"/>
  <sheetViews>
    <sheetView zoomScale="60" zoomScaleNormal="60" workbookViewId="0">
      <selection activeCell="F41" sqref="F41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4" width="22.28515625" style="8" customWidth="1"/>
    <col min="5" max="6" width="21.5703125" style="8" customWidth="1"/>
    <col min="7" max="7" width="23.7109375" style="8" customWidth="1"/>
    <col min="8" max="8" width="24.28515625" style="8" customWidth="1"/>
    <col min="9" max="10" width="23.85546875" style="8" customWidth="1"/>
    <col min="11" max="11" width="28" style="8" customWidth="1"/>
    <col min="12" max="12" width="22.140625" style="8" customWidth="1"/>
    <col min="13" max="22" width="22.7109375" style="8" customWidth="1"/>
    <col min="23" max="16384" width="9.140625" style="8"/>
  </cols>
  <sheetData>
    <row r="1" spans="2:22" ht="15.75" customHeight="1">
      <c r="Q1" s="72" t="s">
        <v>0</v>
      </c>
      <c r="R1" s="72"/>
      <c r="S1" s="72"/>
      <c r="T1" s="72"/>
      <c r="U1" s="72"/>
      <c r="V1" s="72"/>
    </row>
    <row r="3" spans="2:22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2:22" ht="24.75" customHeight="1">
      <c r="B4" s="70" t="s">
        <v>36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2:22" ht="78.75">
      <c r="B5" s="71" t="s">
        <v>3</v>
      </c>
      <c r="C5" s="71" t="s">
        <v>4</v>
      </c>
      <c r="D5" s="5" t="s">
        <v>5</v>
      </c>
      <c r="E5" s="5" t="s">
        <v>37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24</v>
      </c>
      <c r="N5" s="5" t="s">
        <v>29</v>
      </c>
      <c r="O5" s="5" t="s">
        <v>22</v>
      </c>
      <c r="P5" s="5" t="s">
        <v>25</v>
      </c>
      <c r="Q5" s="5" t="s">
        <v>30</v>
      </c>
      <c r="R5" s="5" t="s">
        <v>26</v>
      </c>
      <c r="S5" s="5" t="s">
        <v>31</v>
      </c>
      <c r="T5" s="5" t="s">
        <v>32</v>
      </c>
      <c r="U5" s="5" t="s">
        <v>33</v>
      </c>
      <c r="V5" s="5" t="s">
        <v>34</v>
      </c>
    </row>
    <row r="6" spans="2:22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  <c r="V6" s="5" t="s">
        <v>14</v>
      </c>
    </row>
    <row r="7" spans="2:22">
      <c r="B7" s="6" t="s">
        <v>15</v>
      </c>
      <c r="C7" s="7">
        <f>SUM(C8:C11)</f>
        <v>12614730</v>
      </c>
      <c r="D7" s="7">
        <f t="shared" ref="D7:V7" si="0">SUM(D8:D11)</f>
        <v>10567411</v>
      </c>
      <c r="E7" s="7">
        <f t="shared" si="0"/>
        <v>312945</v>
      </c>
      <c r="F7" s="7">
        <f t="shared" si="0"/>
        <v>14499</v>
      </c>
      <c r="G7" s="7">
        <f t="shared" si="0"/>
        <v>10633</v>
      </c>
      <c r="H7" s="7">
        <f t="shared" si="0"/>
        <v>19514</v>
      </c>
      <c r="I7" s="7">
        <f t="shared" si="0"/>
        <v>88425</v>
      </c>
      <c r="J7" s="7">
        <f t="shared" si="0"/>
        <v>47683</v>
      </c>
      <c r="K7" s="7">
        <f t="shared" si="0"/>
        <v>17134</v>
      </c>
      <c r="L7" s="7">
        <f t="shared" si="0"/>
        <v>30810</v>
      </c>
      <c r="M7" s="7">
        <f t="shared" si="0"/>
        <v>13413</v>
      </c>
      <c r="N7" s="7">
        <f t="shared" si="0"/>
        <v>6802</v>
      </c>
      <c r="O7" s="7">
        <f t="shared" si="0"/>
        <v>1359860</v>
      </c>
      <c r="P7" s="7">
        <f t="shared" si="0"/>
        <v>31186</v>
      </c>
      <c r="Q7" s="7">
        <f t="shared" si="0"/>
        <v>31569</v>
      </c>
      <c r="R7" s="7">
        <f t="shared" si="0"/>
        <v>25393</v>
      </c>
      <c r="S7" s="7">
        <f t="shared" si="0"/>
        <v>8445</v>
      </c>
      <c r="T7" s="7">
        <f t="shared" si="0"/>
        <v>9653</v>
      </c>
      <c r="U7" s="7">
        <f t="shared" si="0"/>
        <v>11395</v>
      </c>
      <c r="V7" s="7">
        <f t="shared" si="0"/>
        <v>7960</v>
      </c>
    </row>
    <row r="8" spans="2:22">
      <c r="B8" s="3" t="s">
        <v>16</v>
      </c>
      <c r="C8" s="7">
        <f>SUM(D8:V8)</f>
        <v>1183821</v>
      </c>
      <c r="D8" s="1">
        <v>1183821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  <c r="Q8" s="1" t="s">
        <v>17</v>
      </c>
      <c r="R8" s="1" t="s">
        <v>17</v>
      </c>
      <c r="S8" s="1" t="s">
        <v>17</v>
      </c>
      <c r="T8" s="1" t="s">
        <v>17</v>
      </c>
      <c r="U8" s="1" t="s">
        <v>17</v>
      </c>
      <c r="V8" s="1" t="s">
        <v>17</v>
      </c>
    </row>
    <row r="9" spans="2:22">
      <c r="B9" s="3" t="s">
        <v>18</v>
      </c>
      <c r="C9" s="7">
        <f>SUM(D9:V9)</f>
        <v>5315224</v>
      </c>
      <c r="D9" s="1">
        <v>3955364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>
        <v>1359860</v>
      </c>
      <c r="P9" s="1" t="s">
        <v>17</v>
      </c>
      <c r="Q9" s="1" t="s">
        <v>17</v>
      </c>
      <c r="R9" s="1" t="s">
        <v>17</v>
      </c>
      <c r="S9" s="1" t="s">
        <v>17</v>
      </c>
      <c r="T9" s="1" t="s">
        <v>17</v>
      </c>
      <c r="U9" s="1" t="s">
        <v>17</v>
      </c>
      <c r="V9" s="1" t="s">
        <v>17</v>
      </c>
    </row>
    <row r="10" spans="2:22">
      <c r="B10" s="3" t="s">
        <v>19</v>
      </c>
      <c r="C10" s="7">
        <f>SUM(D10:V10)</f>
        <v>5904281</v>
      </c>
      <c r="D10" s="1">
        <v>5250387</v>
      </c>
      <c r="E10" s="1">
        <v>305170</v>
      </c>
      <c r="F10" s="1">
        <v>14499</v>
      </c>
      <c r="G10" s="1">
        <v>10633</v>
      </c>
      <c r="H10" s="1">
        <v>19514</v>
      </c>
      <c r="I10" s="1">
        <v>88425</v>
      </c>
      <c r="J10" s="1">
        <v>47683</v>
      </c>
      <c r="K10" s="1">
        <v>17134</v>
      </c>
      <c r="L10" s="1">
        <v>22580</v>
      </c>
      <c r="M10" s="1">
        <v>13413</v>
      </c>
      <c r="N10" s="1">
        <v>6802</v>
      </c>
      <c r="O10" s="1" t="s">
        <v>17</v>
      </c>
      <c r="P10" s="1">
        <v>23279</v>
      </c>
      <c r="Q10" s="1">
        <v>31569</v>
      </c>
      <c r="R10" s="1">
        <v>25393</v>
      </c>
      <c r="S10" s="1">
        <v>8445</v>
      </c>
      <c r="T10" s="1" t="s">
        <v>17</v>
      </c>
      <c r="U10" s="1">
        <f>'[1]Июль 20'!M60</f>
        <v>11395</v>
      </c>
      <c r="V10" s="1">
        <v>7960</v>
      </c>
    </row>
    <row r="11" spans="2:22">
      <c r="B11" s="3" t="s">
        <v>20</v>
      </c>
      <c r="C11" s="7">
        <f>SUM(D11:V11)</f>
        <v>211404</v>
      </c>
      <c r="D11" s="1">
        <v>177839</v>
      </c>
      <c r="E11" s="1">
        <v>7775</v>
      </c>
      <c r="F11" s="1" t="s">
        <v>17</v>
      </c>
      <c r="G11" s="1" t="s">
        <v>17</v>
      </c>
      <c r="H11" s="1" t="s">
        <v>17</v>
      </c>
      <c r="I11" s="1" t="s">
        <v>17</v>
      </c>
      <c r="J11" s="1" t="s">
        <v>17</v>
      </c>
      <c r="K11" s="1" t="s">
        <v>17</v>
      </c>
      <c r="L11" s="1">
        <v>8230</v>
      </c>
      <c r="M11" s="1" t="s">
        <v>17</v>
      </c>
      <c r="N11" s="1" t="s">
        <v>17</v>
      </c>
      <c r="O11" s="1" t="s">
        <v>17</v>
      </c>
      <c r="P11" s="1">
        <v>7907</v>
      </c>
      <c r="Q11" s="1" t="s">
        <v>17</v>
      </c>
      <c r="R11" s="1" t="s">
        <v>17</v>
      </c>
      <c r="S11" s="1" t="s">
        <v>17</v>
      </c>
      <c r="T11" s="1">
        <v>9653</v>
      </c>
      <c r="U11" s="1" t="s">
        <v>17</v>
      </c>
      <c r="V11" s="1" t="s">
        <v>17</v>
      </c>
    </row>
    <row r="14" spans="2:22">
      <c r="C14" s="31"/>
    </row>
    <row r="15" spans="2:22">
      <c r="D15" s="47"/>
      <c r="J15" s="31"/>
    </row>
    <row r="16" spans="2:22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2:10">
      <c r="B17" s="31"/>
    </row>
    <row r="18" spans="2:10">
      <c r="D18" s="31"/>
      <c r="E18" s="31"/>
      <c r="F18" s="31"/>
      <c r="J18" s="31"/>
    </row>
  </sheetData>
  <mergeCells count="5">
    <mergeCell ref="B3:V3"/>
    <mergeCell ref="B4:V4"/>
    <mergeCell ref="B5:B6"/>
    <mergeCell ref="C5:C6"/>
    <mergeCell ref="Q1:V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C83AB-7FA7-4FBC-B1C9-933743CDB142}">
  <sheetPr>
    <pageSetUpPr fitToPage="1"/>
  </sheetPr>
  <dimension ref="B1:W18"/>
  <sheetViews>
    <sheetView zoomScale="60" zoomScaleNormal="60" workbookViewId="0">
      <selection activeCell="E46" sqref="E46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4" width="22.28515625" style="8" customWidth="1"/>
    <col min="5" max="6" width="21.5703125" style="8" customWidth="1"/>
    <col min="7" max="7" width="23.7109375" style="8" customWidth="1"/>
    <col min="8" max="8" width="24.28515625" style="8" customWidth="1"/>
    <col min="9" max="10" width="23.85546875" style="8" customWidth="1"/>
    <col min="11" max="11" width="28" style="8" customWidth="1"/>
    <col min="12" max="12" width="22.140625" style="8" customWidth="1"/>
    <col min="13" max="23" width="22.7109375" style="8" customWidth="1"/>
    <col min="24" max="16384" width="9.140625" style="8"/>
  </cols>
  <sheetData>
    <row r="1" spans="2:23" ht="15.75" customHeight="1">
      <c r="R1" s="72" t="s">
        <v>0</v>
      </c>
      <c r="S1" s="72"/>
      <c r="T1" s="72"/>
      <c r="U1" s="72"/>
      <c r="V1" s="72"/>
      <c r="W1" s="72"/>
    </row>
    <row r="3" spans="2:23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2:23" ht="24.75" customHeight="1">
      <c r="B4" s="70" t="s">
        <v>38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2:23" ht="78.75">
      <c r="B5" s="71" t="s">
        <v>3</v>
      </c>
      <c r="C5" s="71" t="s">
        <v>4</v>
      </c>
      <c r="D5" s="5" t="s">
        <v>5</v>
      </c>
      <c r="E5" s="5" t="s">
        <v>37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24</v>
      </c>
      <c r="N5" s="5" t="s">
        <v>29</v>
      </c>
      <c r="O5" s="5" t="s">
        <v>22</v>
      </c>
      <c r="P5" s="5" t="s">
        <v>25</v>
      </c>
      <c r="Q5" s="5" t="s">
        <v>30</v>
      </c>
      <c r="R5" s="5" t="s">
        <v>26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39</v>
      </c>
    </row>
    <row r="6" spans="2:23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  <c r="V6" s="5" t="s">
        <v>14</v>
      </c>
      <c r="W6" s="5" t="s">
        <v>14</v>
      </c>
    </row>
    <row r="7" spans="2:23">
      <c r="B7" s="6" t="s">
        <v>15</v>
      </c>
      <c r="C7" s="7">
        <f>SUM(C8:C11)</f>
        <v>11406774</v>
      </c>
      <c r="D7" s="7">
        <f t="shared" ref="D7:V7" si="0">SUM(D8:D11)</f>
        <v>9186743</v>
      </c>
      <c r="E7" s="7">
        <f t="shared" si="0"/>
        <v>411088</v>
      </c>
      <c r="F7" s="7">
        <f t="shared" si="0"/>
        <v>14522</v>
      </c>
      <c r="G7" s="7">
        <f t="shared" si="0"/>
        <v>10570</v>
      </c>
      <c r="H7" s="7">
        <f t="shared" si="0"/>
        <v>19342</v>
      </c>
      <c r="I7" s="7">
        <f t="shared" si="0"/>
        <v>95830</v>
      </c>
      <c r="J7" s="7">
        <f t="shared" si="0"/>
        <v>331276</v>
      </c>
      <c r="K7" s="7">
        <f t="shared" si="0"/>
        <v>18818</v>
      </c>
      <c r="L7" s="7">
        <f t="shared" si="0"/>
        <v>29975</v>
      </c>
      <c r="M7" s="7">
        <f t="shared" si="0"/>
        <v>16927</v>
      </c>
      <c r="N7" s="7">
        <f t="shared" si="0"/>
        <v>6928</v>
      </c>
      <c r="O7" s="7">
        <f t="shared" si="0"/>
        <v>1124368</v>
      </c>
      <c r="P7" s="7">
        <f t="shared" si="0"/>
        <v>32979</v>
      </c>
      <c r="Q7" s="7">
        <f t="shared" si="0"/>
        <v>32019</v>
      </c>
      <c r="R7" s="7">
        <f t="shared" si="0"/>
        <v>25011</v>
      </c>
      <c r="S7" s="7">
        <f t="shared" si="0"/>
        <v>8357</v>
      </c>
      <c r="T7" s="7">
        <f t="shared" si="0"/>
        <v>10019</v>
      </c>
      <c r="U7" s="7">
        <f t="shared" si="0"/>
        <v>12382</v>
      </c>
      <c r="V7" s="7">
        <f t="shared" si="0"/>
        <v>7680</v>
      </c>
      <c r="W7" s="7">
        <f>SUM(W8:W11)</f>
        <v>11940</v>
      </c>
    </row>
    <row r="8" spans="2:23">
      <c r="B8" s="3" t="s">
        <v>16</v>
      </c>
      <c r="C8" s="7">
        <f>SUM(D8:W8)</f>
        <v>1138789</v>
      </c>
      <c r="D8" s="1">
        <v>1138789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 t="s">
        <v>17</v>
      </c>
      <c r="Q8" s="1" t="s">
        <v>17</v>
      </c>
      <c r="R8" s="1" t="s">
        <v>17</v>
      </c>
      <c r="S8" s="1" t="s">
        <v>17</v>
      </c>
      <c r="T8" s="1" t="s">
        <v>17</v>
      </c>
      <c r="U8" s="1" t="s">
        <v>17</v>
      </c>
      <c r="V8" s="1" t="s">
        <v>17</v>
      </c>
      <c r="W8" s="1" t="s">
        <v>17</v>
      </c>
    </row>
    <row r="9" spans="2:23">
      <c r="B9" s="3" t="s">
        <v>18</v>
      </c>
      <c r="C9" s="7">
        <f>SUM(D9:W9)</f>
        <v>3961703</v>
      </c>
      <c r="D9" s="1">
        <v>2837335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>
        <v>1124368</v>
      </c>
      <c r="P9" s="1" t="s">
        <v>17</v>
      </c>
      <c r="Q9" s="1" t="s">
        <v>17</v>
      </c>
      <c r="R9" s="1" t="s">
        <v>17</v>
      </c>
      <c r="S9" s="1" t="s">
        <v>17</v>
      </c>
      <c r="T9" s="1" t="s">
        <v>17</v>
      </c>
      <c r="U9" s="1" t="s">
        <v>17</v>
      </c>
      <c r="V9" s="1" t="s">
        <v>17</v>
      </c>
      <c r="W9" s="1" t="s">
        <v>17</v>
      </c>
    </row>
    <row r="10" spans="2:23">
      <c r="B10" s="3" t="s">
        <v>19</v>
      </c>
      <c r="C10" s="7">
        <f>SUM(D10:W10)</f>
        <v>6035262</v>
      </c>
      <c r="D10" s="1">
        <v>5008282</v>
      </c>
      <c r="E10" s="1">
        <v>403481</v>
      </c>
      <c r="F10" s="1">
        <v>14522</v>
      </c>
      <c r="G10" s="1">
        <v>10570</v>
      </c>
      <c r="H10" s="1">
        <v>19342</v>
      </c>
      <c r="I10" s="1">
        <v>95830</v>
      </c>
      <c r="J10" s="1">
        <v>309546</v>
      </c>
      <c r="K10" s="1">
        <v>18818</v>
      </c>
      <c r="L10" s="1">
        <v>21671</v>
      </c>
      <c r="M10" s="1">
        <v>16927</v>
      </c>
      <c r="N10" s="1">
        <v>6928</v>
      </c>
      <c r="O10" s="1" t="s">
        <v>17</v>
      </c>
      <c r="P10" s="1">
        <v>23896</v>
      </c>
      <c r="Q10" s="1">
        <v>32019</v>
      </c>
      <c r="R10" s="1">
        <v>25011</v>
      </c>
      <c r="S10" s="1">
        <v>8357</v>
      </c>
      <c r="T10" s="1" t="s">
        <v>17</v>
      </c>
      <c r="U10" s="1">
        <v>12382</v>
      </c>
      <c r="V10" s="1">
        <v>7680</v>
      </c>
      <c r="W10" s="1" t="s">
        <v>17</v>
      </c>
    </row>
    <row r="11" spans="2:23">
      <c r="B11" s="3" t="s">
        <v>20</v>
      </c>
      <c r="C11" s="7">
        <f>SUM(D11:W11)</f>
        <v>271020</v>
      </c>
      <c r="D11" s="1">
        <v>202337</v>
      </c>
      <c r="E11" s="1">
        <v>7607</v>
      </c>
      <c r="F11" s="1" t="s">
        <v>17</v>
      </c>
      <c r="G11" s="1" t="s">
        <v>17</v>
      </c>
      <c r="H11" s="1" t="s">
        <v>17</v>
      </c>
      <c r="I11" s="1" t="s">
        <v>17</v>
      </c>
      <c r="J11" s="1">
        <v>21730</v>
      </c>
      <c r="K11" s="1" t="s">
        <v>17</v>
      </c>
      <c r="L11" s="1">
        <v>8304</v>
      </c>
      <c r="M11" s="1" t="s">
        <v>17</v>
      </c>
      <c r="N11" s="1" t="s">
        <v>17</v>
      </c>
      <c r="O11" s="1" t="s">
        <v>17</v>
      </c>
      <c r="P11" s="1">
        <v>9083</v>
      </c>
      <c r="Q11" s="1" t="s">
        <v>17</v>
      </c>
      <c r="R11" s="1" t="s">
        <v>17</v>
      </c>
      <c r="S11" s="1" t="s">
        <v>17</v>
      </c>
      <c r="T11" s="1">
        <v>10019</v>
      </c>
      <c r="U11" s="1" t="s">
        <v>17</v>
      </c>
      <c r="V11" s="1" t="s">
        <v>17</v>
      </c>
      <c r="W11" s="1">
        <v>11940</v>
      </c>
    </row>
    <row r="14" spans="2:23">
      <c r="C14" s="31"/>
    </row>
    <row r="15" spans="2:23">
      <c r="D15" s="47"/>
      <c r="J15" s="31"/>
    </row>
    <row r="16" spans="2:23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8" spans="4:10">
      <c r="D18" s="31"/>
      <c r="E18" s="31"/>
      <c r="F18" s="31"/>
      <c r="J18" s="31"/>
    </row>
  </sheetData>
  <mergeCells count="5">
    <mergeCell ref="B3:W3"/>
    <mergeCell ref="B4:W4"/>
    <mergeCell ref="B5:B6"/>
    <mergeCell ref="C5:C6"/>
    <mergeCell ref="R1:W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60288-7254-42F0-8B5F-A6F74722583B}">
  <sheetPr>
    <pageSetUpPr fitToPage="1"/>
  </sheetPr>
  <dimension ref="B1:AA18"/>
  <sheetViews>
    <sheetView zoomScale="60" zoomScaleNormal="60" workbookViewId="0">
      <selection activeCell="C12" sqref="C12"/>
    </sheetView>
  </sheetViews>
  <sheetFormatPr defaultRowHeight="15.75"/>
  <cols>
    <col min="1" max="1" width="4.140625" style="8" customWidth="1"/>
    <col min="2" max="2" width="20.42578125" style="8" customWidth="1"/>
    <col min="3" max="3" width="27" style="8" customWidth="1"/>
    <col min="4" max="4" width="22.28515625" style="8" customWidth="1"/>
    <col min="5" max="6" width="21.5703125" style="8" customWidth="1"/>
    <col min="7" max="7" width="23.7109375" style="8" customWidth="1"/>
    <col min="8" max="8" width="24.28515625" style="8" customWidth="1"/>
    <col min="9" max="10" width="23.85546875" style="8" customWidth="1"/>
    <col min="11" max="11" width="29.7109375" style="8" customWidth="1"/>
    <col min="12" max="12" width="22.140625" style="8" customWidth="1"/>
    <col min="13" max="25" width="22.7109375" style="8" customWidth="1"/>
    <col min="26" max="26" width="24.85546875" style="8" customWidth="1"/>
    <col min="27" max="27" width="24.42578125" style="8" customWidth="1"/>
    <col min="28" max="16384" width="9.140625" style="8"/>
  </cols>
  <sheetData>
    <row r="1" spans="2:27" ht="15.75" customHeight="1">
      <c r="V1" s="73" t="s">
        <v>0</v>
      </c>
      <c r="W1" s="73"/>
      <c r="X1" s="73"/>
      <c r="Y1" s="73"/>
      <c r="Z1" s="73"/>
      <c r="AA1" s="73"/>
    </row>
    <row r="3" spans="2:27" ht="26.25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2:27" ht="24.75" customHeight="1">
      <c r="B4" s="70" t="s">
        <v>40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2:27" ht="78.75">
      <c r="B5" s="71" t="s">
        <v>3</v>
      </c>
      <c r="C5" s="71" t="s">
        <v>4</v>
      </c>
      <c r="D5" s="5" t="s">
        <v>5</v>
      </c>
      <c r="E5" s="5" t="s">
        <v>37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24</v>
      </c>
      <c r="N5" s="5" t="s">
        <v>29</v>
      </c>
      <c r="O5" s="5" t="s">
        <v>22</v>
      </c>
      <c r="P5" s="5" t="s">
        <v>41</v>
      </c>
      <c r="Q5" s="5" t="s">
        <v>42</v>
      </c>
      <c r="R5" s="5" t="s">
        <v>25</v>
      </c>
      <c r="S5" s="5" t="s">
        <v>30</v>
      </c>
      <c r="T5" s="5" t="s">
        <v>26</v>
      </c>
      <c r="U5" s="5" t="s">
        <v>31</v>
      </c>
      <c r="V5" s="5" t="s">
        <v>32</v>
      </c>
      <c r="W5" s="5" t="s">
        <v>33</v>
      </c>
      <c r="X5" s="5" t="s">
        <v>34</v>
      </c>
      <c r="Y5" s="5" t="s">
        <v>39</v>
      </c>
      <c r="Z5" s="5" t="s">
        <v>43</v>
      </c>
      <c r="AA5" s="5" t="s">
        <v>44</v>
      </c>
    </row>
    <row r="6" spans="2:27" ht="63">
      <c r="B6" s="71"/>
      <c r="C6" s="71"/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  <c r="V6" s="5" t="s">
        <v>14</v>
      </c>
      <c r="W6" s="5" t="s">
        <v>14</v>
      </c>
      <c r="X6" s="5" t="s">
        <v>14</v>
      </c>
      <c r="Y6" s="5" t="s">
        <v>14</v>
      </c>
      <c r="Z6" s="5" t="s">
        <v>14</v>
      </c>
      <c r="AA6" s="5" t="s">
        <v>14</v>
      </c>
    </row>
    <row r="7" spans="2:27">
      <c r="B7" s="6" t="s">
        <v>15</v>
      </c>
      <c r="C7" s="7">
        <f>SUM(C8:C11)</f>
        <v>8289459</v>
      </c>
      <c r="D7" s="7">
        <f t="shared" ref="D7:AA7" si="0">SUM(D8:D11)</f>
        <v>6144469</v>
      </c>
      <c r="E7" s="7">
        <f t="shared" si="0"/>
        <v>400509</v>
      </c>
      <c r="F7" s="7">
        <f t="shared" si="0"/>
        <v>14612</v>
      </c>
      <c r="G7" s="7">
        <f t="shared" si="0"/>
        <v>10390</v>
      </c>
      <c r="H7" s="7">
        <f t="shared" si="0"/>
        <v>18582</v>
      </c>
      <c r="I7" s="7">
        <f t="shared" si="0"/>
        <v>93034</v>
      </c>
      <c r="J7" s="7">
        <f t="shared" si="0"/>
        <v>323741</v>
      </c>
      <c r="K7" s="7">
        <f t="shared" si="0"/>
        <v>17864</v>
      </c>
      <c r="L7" s="7">
        <f t="shared" si="0"/>
        <v>29382</v>
      </c>
      <c r="M7" s="7">
        <f t="shared" si="0"/>
        <v>19886</v>
      </c>
      <c r="N7" s="7">
        <f t="shared" si="0"/>
        <v>14042</v>
      </c>
      <c r="O7" s="7">
        <f t="shared" si="0"/>
        <v>990504</v>
      </c>
      <c r="P7" s="7">
        <f t="shared" si="0"/>
        <v>5812</v>
      </c>
      <c r="Q7" s="7">
        <f t="shared" si="0"/>
        <v>6377</v>
      </c>
      <c r="R7" s="7">
        <f t="shared" si="0"/>
        <v>51593</v>
      </c>
      <c r="S7" s="7">
        <f t="shared" si="0"/>
        <v>32473</v>
      </c>
      <c r="T7" s="7">
        <f t="shared" si="0"/>
        <v>25189</v>
      </c>
      <c r="U7" s="7">
        <f t="shared" si="0"/>
        <v>7865</v>
      </c>
      <c r="V7" s="7">
        <f t="shared" si="0"/>
        <v>9880</v>
      </c>
      <c r="W7" s="7">
        <f t="shared" si="0"/>
        <v>14484</v>
      </c>
      <c r="X7" s="7">
        <f t="shared" si="0"/>
        <v>6145</v>
      </c>
      <c r="Y7" s="7">
        <f>SUM(Y8:Y11)</f>
        <v>16688</v>
      </c>
      <c r="Z7" s="7">
        <f t="shared" si="0"/>
        <v>5508</v>
      </c>
      <c r="AA7" s="7">
        <f t="shared" si="0"/>
        <v>30430</v>
      </c>
    </row>
    <row r="8" spans="2:27">
      <c r="B8" s="3" t="s">
        <v>16</v>
      </c>
      <c r="C8" s="7">
        <f>SUM(D8:AA8)</f>
        <v>546137</v>
      </c>
      <c r="D8" s="1">
        <v>540325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 t="s">
        <v>17</v>
      </c>
      <c r="P8" s="1">
        <v>5812</v>
      </c>
      <c r="Q8" s="1" t="s">
        <v>17</v>
      </c>
      <c r="R8" s="1" t="s">
        <v>17</v>
      </c>
      <c r="S8" s="1" t="s">
        <v>17</v>
      </c>
      <c r="T8" s="1" t="s">
        <v>17</v>
      </c>
      <c r="U8" s="1" t="s">
        <v>17</v>
      </c>
      <c r="V8" s="1" t="s">
        <v>17</v>
      </c>
      <c r="W8" s="1" t="s">
        <v>17</v>
      </c>
      <c r="X8" s="1" t="s">
        <v>17</v>
      </c>
      <c r="Y8" s="1" t="s">
        <v>17</v>
      </c>
      <c r="Z8" s="1" t="s">
        <v>17</v>
      </c>
      <c r="AA8" s="1" t="s">
        <v>17</v>
      </c>
    </row>
    <row r="9" spans="2:27">
      <c r="B9" s="3" t="s">
        <v>18</v>
      </c>
      <c r="C9" s="7">
        <f>SUM(D9:AA9)</f>
        <v>2718191</v>
      </c>
      <c r="D9" s="1">
        <v>1727687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>
        <v>990504</v>
      </c>
      <c r="P9" s="1" t="s">
        <v>17</v>
      </c>
      <c r="Q9" s="1" t="s">
        <v>17</v>
      </c>
      <c r="R9" s="1" t="s">
        <v>17</v>
      </c>
      <c r="S9" s="1" t="s">
        <v>17</v>
      </c>
      <c r="T9" s="1" t="s">
        <v>17</v>
      </c>
      <c r="U9" s="1" t="s">
        <v>17</v>
      </c>
      <c r="V9" s="1" t="s">
        <v>17</v>
      </c>
      <c r="W9" s="1" t="s">
        <v>17</v>
      </c>
      <c r="X9" s="1" t="s">
        <v>17</v>
      </c>
      <c r="Y9" s="1" t="s">
        <v>17</v>
      </c>
      <c r="Z9" s="1" t="s">
        <v>17</v>
      </c>
      <c r="AA9" s="1" t="s">
        <v>17</v>
      </c>
    </row>
    <row r="10" spans="2:27">
      <c r="B10" s="3" t="s">
        <v>19</v>
      </c>
      <c r="C10" s="7">
        <f>SUM(D10:AA10)</f>
        <v>4766012</v>
      </c>
      <c r="D10" s="1">
        <v>3684254</v>
      </c>
      <c r="E10" s="1">
        <v>393666</v>
      </c>
      <c r="F10" s="1">
        <v>14612</v>
      </c>
      <c r="G10" s="1">
        <v>10390</v>
      </c>
      <c r="H10" s="1">
        <v>18582</v>
      </c>
      <c r="I10" s="1">
        <v>93034</v>
      </c>
      <c r="J10" s="1">
        <v>303149</v>
      </c>
      <c r="K10" s="1">
        <v>17864</v>
      </c>
      <c r="L10" s="1">
        <v>21328</v>
      </c>
      <c r="M10" s="1">
        <v>19886</v>
      </c>
      <c r="N10" s="1">
        <v>14042</v>
      </c>
      <c r="O10" s="1" t="s">
        <v>17</v>
      </c>
      <c r="P10" s="1" t="s">
        <v>17</v>
      </c>
      <c r="Q10" s="1">
        <v>6377</v>
      </c>
      <c r="R10" s="1">
        <v>46734</v>
      </c>
      <c r="S10" s="1">
        <v>32473</v>
      </c>
      <c r="T10" s="1">
        <v>25189</v>
      </c>
      <c r="U10" s="1">
        <v>7865</v>
      </c>
      <c r="V10" s="1" t="s">
        <v>17</v>
      </c>
      <c r="W10" s="1">
        <v>14484</v>
      </c>
      <c r="X10" s="1">
        <v>6145</v>
      </c>
      <c r="Y10" s="1" t="s">
        <v>17</v>
      </c>
      <c r="Z10" s="1">
        <v>5508</v>
      </c>
      <c r="AA10" s="1">
        <v>30430</v>
      </c>
    </row>
    <row r="11" spans="2:27">
      <c r="B11" s="3" t="s">
        <v>20</v>
      </c>
      <c r="C11" s="7">
        <f>SUM(D11:AA11)</f>
        <v>259119</v>
      </c>
      <c r="D11" s="1">
        <v>192203</v>
      </c>
      <c r="E11" s="1">
        <v>6843</v>
      </c>
      <c r="F11" s="1" t="s">
        <v>17</v>
      </c>
      <c r="G11" s="1" t="s">
        <v>17</v>
      </c>
      <c r="H11" s="1" t="s">
        <v>17</v>
      </c>
      <c r="I11" s="1" t="s">
        <v>17</v>
      </c>
      <c r="J11" s="1">
        <v>20592</v>
      </c>
      <c r="K11" s="1" t="s">
        <v>17</v>
      </c>
      <c r="L11" s="1">
        <v>8054</v>
      </c>
      <c r="M11" s="1" t="s">
        <v>17</v>
      </c>
      <c r="N11" s="1" t="s">
        <v>17</v>
      </c>
      <c r="O11" s="1" t="s">
        <v>17</v>
      </c>
      <c r="P11" s="1" t="s">
        <v>17</v>
      </c>
      <c r="Q11" s="1" t="s">
        <v>17</v>
      </c>
      <c r="R11" s="1">
        <v>4859</v>
      </c>
      <c r="S11" s="1" t="s">
        <v>17</v>
      </c>
      <c r="T11" s="1" t="s">
        <v>17</v>
      </c>
      <c r="U11" s="1" t="s">
        <v>17</v>
      </c>
      <c r="V11" s="1">
        <v>9880</v>
      </c>
      <c r="W11" s="1" t="s">
        <v>17</v>
      </c>
      <c r="X11" s="1" t="s">
        <v>17</v>
      </c>
      <c r="Y11" s="1">
        <v>16688</v>
      </c>
      <c r="Z11" s="1" t="s">
        <v>17</v>
      </c>
      <c r="AA11" s="1" t="s">
        <v>17</v>
      </c>
    </row>
    <row r="14" spans="2:27">
      <c r="C14" s="31"/>
    </row>
    <row r="15" spans="2:27">
      <c r="D15" s="47"/>
      <c r="J15" s="31"/>
    </row>
    <row r="16" spans="2:27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8" spans="4:10">
      <c r="D18" s="31"/>
      <c r="E18" s="31"/>
      <c r="F18" s="31"/>
      <c r="J18" s="31"/>
    </row>
  </sheetData>
  <mergeCells count="5">
    <mergeCell ref="B3:AA3"/>
    <mergeCell ref="B4:AA4"/>
    <mergeCell ref="B5:B6"/>
    <mergeCell ref="C5:C6"/>
    <mergeCell ref="V1:AA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627A56E323A964F8203EEDCFCF855F9" ma:contentTypeVersion="6" ma:contentTypeDescription="Создание документа." ma:contentTypeScope="" ma:versionID="a539a418c0f31fef9fda04f958dcc619">
  <xsd:schema xmlns:xsd="http://www.w3.org/2001/XMLSchema" xmlns:xs="http://www.w3.org/2001/XMLSchema" xmlns:p="http://schemas.microsoft.com/office/2006/metadata/properties" xmlns:ns2="eff03a62-4386-4db0-9c21-07133cbb6713" targetNamespace="http://schemas.microsoft.com/office/2006/metadata/properties" ma:root="true" ma:fieldsID="66fffc1c4f735f1c002489967c8f9383" ns2:_="">
    <xsd:import namespace="eff03a62-4386-4db0-9c21-07133cbb67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f03a62-4386-4db0-9c21-07133cbb6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A31ED1-7750-42DD-BA67-17E692D9FA2B}"/>
</file>

<file path=customXml/itemProps2.xml><?xml version="1.0" encoding="utf-8"?>
<ds:datastoreItem xmlns:ds="http://schemas.openxmlformats.org/officeDocument/2006/customXml" ds:itemID="{D8BAC052-515F-48FB-84B2-C2BCB5D47515}"/>
</file>

<file path=customXml/itemProps3.xml><?xml version="1.0" encoding="utf-8"?>
<ds:datastoreItem xmlns:ds="http://schemas.openxmlformats.org/officeDocument/2006/customXml" ds:itemID="{33513C8D-97B0-451C-B44D-A9EFE0F92B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2021-09-08T13:37:44Z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0x0101001627A56E323A964F8203EEDCFCF855F9</vt:lpwstr>
  </property>
</Properties>
</file>